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éeme" sheetId="1" state="visible" r:id="rId3"/>
    <sheet name="Modelo inverso" sheetId="2" state="visible" r:id="rId4"/>
    <sheet name="Motores" sheetId="3" state="visible" r:id="rId5"/>
    <sheet name="Presupuesto" sheetId="4" state="visible" r:id="rId6"/>
    <sheet name="Forecast 90 días" sheetId="5" state="visible" r:id="rId7"/>
    <sheet name="Tablero" sheetId="6" state="visible" r:id="rId8"/>
    <sheet name="Tasas por industria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<sst xmlns="http://schemas.openxmlformats.org/spreadsheetml/2006/main" count="248" uniqueCount="231">
  <si>
    <t xml:space="preserve">AZUL CLARITO  ·  CÓMO CONSTRUIR DEMANDA PREDECIBLE</t>
  </si>
  <si>
    <t xml:space="preserve">Modelo de demanda predecible</t>
  </si>
  <si>
    <t xml:space="preserve">Acompaña al PDF «Cómo construir demanda predecible». v1.0 · Agosto 2026 · azulclarito.com · hola@azulclarito.mx</t>
  </si>
  <si>
    <t xml:space="preserve">Las seis hojas</t>
  </si>
  <si>
    <t xml:space="preserve">1 · Modelo inverso</t>
  </si>
  <si>
    <t xml:space="preserve">La división al revés: de tu meta de ingreso al número de oportunidades, SQLs, MQLs y leads que hacen falta. Es la única hoja que tienes que llenar completa. Todo lo demás se alimenta de aquí.</t>
  </si>
  <si>
    <t xml:space="preserve">2 · Motores</t>
  </si>
  <si>
    <t xml:space="preserve">El reparto de esos clientes entre los cuatro motores, cada uno con su propia tasa de cierre. Avisa si el reparto no suma y si un motor concentra demasiado pipeline.</t>
  </si>
  <si>
    <t xml:space="preserve">3 · Presupuesto</t>
  </si>
  <si>
    <t xml:space="preserve">Convierte el porcentaje de ingreso en un techo de costo por oportunidad, y compara el costo real de cada motor contra ese techo.</t>
  </si>
  <si>
    <t xml:space="preserve">4 · Forecast 90 días</t>
  </si>
  <si>
    <t xml:space="preserve">Mes por mes: cuántas oportunidades hay que generar, cuántas entraron de verdad y qué ingreso implica con el desfase de tu ciclo de venta.</t>
  </si>
  <si>
    <t xml:space="preserve">5 · Tablero</t>
  </si>
  <si>
    <t xml:space="preserve">Cobertura real contra la necesaria, pipeline velocity y concentración por motor. Es la hoja de la junta mensual.</t>
  </si>
  <si>
    <t xml:space="preserve">6 · Tasas por industria</t>
  </si>
  <si>
    <t xml:space="preserve">Los rangos publicados por industria, para arrancar cuando todavía no tienes tus propias tasas medidas. Úsalos una vez y reemplázalos a los 90 días.</t>
  </si>
  <si>
    <t xml:space="preserve">El orden correcto de uso</t>
  </si>
  <si>
    <t xml:space="preserve">Primero</t>
  </si>
  <si>
    <t xml:space="preserve">Llena la hoja «Modelo inverso» con tus números. Si no tienes tu tasa de cierre medida, tómala de «Tasas por industria» y márcala como provisional.</t>
  </si>
  <si>
    <t xml:space="preserve">Después</t>
  </si>
  <si>
    <t xml:space="preserve">Reparte los clientes entre motores en la hoja «Motores» hasta que el control diga OK.</t>
  </si>
  <si>
    <t xml:space="preserve">Luego</t>
  </si>
  <si>
    <t xml:space="preserve">Fija el presupuesto y revisa que el costo por oportunidad de cada motor quepa debajo del techo.</t>
  </si>
  <si>
    <t xml:space="preserve">Cada mes</t>
  </si>
  <si>
    <t xml:space="preserve">Captura lo real en «Forecast 90 días» y revisa el «Tablero» en la junta.</t>
  </si>
  <si>
    <t xml:space="preserve">A los 90 días</t>
  </si>
  <si>
    <t xml:space="preserve">Vuelve al «Modelo inverso» con tus tasas ya medidas y recalcula. Ese es el momento en que el modelo deja de ser un plan y empieza a ser un pronóstico.</t>
  </si>
  <si>
    <t xml:space="preserve">Convención de colores</t>
  </si>
  <si>
    <t xml:space="preserve">Ejemplo</t>
  </si>
  <si>
    <t xml:space="preserve">Celdas amarillas con número azul = donde tú capturas</t>
  </si>
  <si>
    <t xml:space="preserve">Celdas grises = las calcula una fórmula, no las toques</t>
  </si>
  <si>
    <t xml:space="preserve">Columna «Control» = te avisa si algo no cuadra</t>
  </si>
  <si>
    <t xml:space="preserve">Los valores precargados son el caso trabajado del PDF («Calibra», metrología industrial): 14 millones de ingreso, meta de 20, ticket de $85,000 y 22% de cierre. Sustitúyelos por los tuyos. Las tasas y umbrales son la configuración base recomendada por Azul Clarito y deben calibrarse con los datos de cada empresa; no constituyen una garantía de resultado. No existe investigación primaria de generación de demanda B2B para México ni Latinoamérica: mide contra tu propia línea base.</t>
  </si>
  <si>
    <t xml:space="preserve">La división al revés</t>
  </si>
  <si>
    <t xml:space="preserve">Captura en amarillo. Cada paso divide el anterior. Si el resultado no cabe en tu operación, el problema no es de esfuerzo: es que la meta y las tasas no son compatibles.</t>
  </si>
  <si>
    <t xml:space="preserve">PASO 1 · DE LA META AL NÚMERO DE CLIENTES</t>
  </si>
  <si>
    <t xml:space="preserve">Meta de ingreso total del periodo</t>
  </si>
  <si>
    <t xml:space="preserve">Lo que la dirección espera que entre en el periodo completo.</t>
  </si>
  <si>
    <t xml:space="preserve">Ingreso ya asegurado o recurrente</t>
  </si>
  <si>
    <t xml:space="preserve">Contratos vigentes, recurrencia, renovaciones probables. No lo cuentes dos veces.</t>
  </si>
  <si>
    <t xml:space="preserve">→ Ingreso nuevo necesario</t>
  </si>
  <si>
    <t xml:space="preserve">Este es el número que hay que producir. Casi siempre sorprende.</t>
  </si>
  <si>
    <t xml:space="preserve">Ticket promedio del primer año</t>
  </si>
  <si>
    <t xml:space="preserve">Lo que factura un cliente nuevo en sus primeros doce meses. No el valor de vida.</t>
  </si>
  <si>
    <t xml:space="preserve">→ Clientes nuevos necesarios</t>
  </si>
  <si>
    <t xml:space="preserve">Redondeado hacia arriba: no existen medios clientes.</t>
  </si>
  <si>
    <t xml:space="preserve">PASO 2 · DE CLIENTES A OPORTUNIDADES</t>
  </si>
  <si>
    <t xml:space="preserve">Tasa de cierre (oportunidad → cliente)</t>
  </si>
  <si>
    <t xml:space="preserve">Tu número real, medido. Si no lo tienes, usa la hoja «Tasas por industria» y márcalo provisional.</t>
  </si>
  <si>
    <t xml:space="preserve">→ Oportunidades necesarias en el periodo</t>
  </si>
  <si>
    <t xml:space="preserve">Oportunidades reales calificadas, no leads.</t>
  </si>
  <si>
    <t xml:space="preserve">→ Cobertura de pipeline necesaria</t>
  </si>
  <si>
    <t xml:space="preserve">Es 1 ÷ tu tasa de cierre. El «3×» que se repite en todas partes no sale de ningún estudio.</t>
  </si>
  <si>
    <t xml:space="preserve">→ Pipeline en dinero que hace falta</t>
  </si>
  <si>
    <t xml:space="preserve">Contra esto se compara el pipeline abierto de hoy, no contra la meta.</t>
  </si>
  <si>
    <t xml:space="preserve">Meses del periodo</t>
  </si>
  <si>
    <t xml:space="preserve">12 para un año, 3 para un trimestre.</t>
  </si>
  <si>
    <t xml:space="preserve">→ Oportunidades nuevas por mes</t>
  </si>
  <si>
    <t xml:space="preserve">El número operativo: es lo que tiene que entrar cada mes, todos los meses.</t>
  </si>
  <si>
    <t xml:space="preserve">Ciclo de venta promedio, en días</t>
  </si>
  <si>
    <t xml:space="preserve">De primer contacto a firma. Define cuánto antes hay que generar el pipeline.</t>
  </si>
  <si>
    <t xml:space="preserve">→ Clientes nuevos por mes (comprobación)</t>
  </si>
  <si>
    <t xml:space="preserve">El pipeline de un periodo se genera un ciclo de venta antes. Con un ciclo de 75 días, lo que cierre en diciembre se generó a mediados de septiembre.</t>
  </si>
  <si>
    <t xml:space="preserve">PASO 3 · DE OPORTUNIDADES A VOLUMEN EN LA BOCA DEL EMBUDO</t>
  </si>
  <si>
    <t xml:space="preserve">% de oportunidades que llegan por el embudo de leads</t>
  </si>
  <si>
    <t xml:space="preserve">Solo contenido y paid pasan por leads. Las oportunidades de outbound y de referidos nacen ya como oportunidad: por eso no se dividen entre estas tasas. Sale de la hoja «Motores».</t>
  </si>
  <si>
    <t xml:space="preserve">→ Oportunidades que sí vienen del embudo</t>
  </si>
  <si>
    <t xml:space="preserve">Tasa SQL → oportunidad</t>
  </si>
  <si>
    <t xml:space="preserve">De los prospectos que ventas acepta, cuántos se vuelven una oportunidad con monto y fecha.</t>
  </si>
  <si>
    <t xml:space="preserve">Tasa MQL → SQL</t>
  </si>
  <si>
    <t xml:space="preserve">Rango publicado: 10 a 26%, promedio 15.5%. Está medido sobre formularios sin filtrar; si tú calificas antes, tu tasa es más alta.</t>
  </si>
  <si>
    <t xml:space="preserve">Tasa lead → MQL</t>
  </si>
  <si>
    <t xml:space="preserve">De todo lo que entra, cuánto califica como MQL.</t>
  </si>
  <si>
    <t xml:space="preserve">→ SQLs necesarios</t>
  </si>
  <si>
    <t xml:space="preserve">→ MQLs necesarios</t>
  </si>
  <si>
    <t xml:space="preserve">→ Leads necesarios en el periodo</t>
  </si>
  <si>
    <t xml:space="preserve">→ Leads por mes</t>
  </si>
  <si>
    <t xml:space="preserve">Aquí es donde se descubre si la meta cabe en la operación que tienes.</t>
  </si>
  <si>
    <t xml:space="preserve">Leads que generas hoy por mes</t>
  </si>
  <si>
    <t xml:space="preserve">→ Lectura</t>
  </si>
  <si>
    <t xml:space="preserve">DIAGNÓSTICO AUTOMÁTICO</t>
  </si>
  <si>
    <t xml:space="preserve">Pipeline abierto hoy (monto total)</t>
  </si>
  <si>
    <t xml:space="preserve">→ Cobertura que tienes hoy</t>
  </si>
  <si>
    <t xml:space="preserve">→ Brecha de cobertura</t>
  </si>
  <si>
    <t xml:space="preserve">→ Veredicto</t>
  </si>
  <si>
    <t xml:space="preserve">El reparto por motor</t>
  </si>
  <si>
    <t xml:space="preserve">Cada motor cierra distinto, así que el reparto se hace en clientes y no en porcentajes iguales. Captura los clientes que le asignas a cada motor y su tasa de cierre propia.</t>
  </si>
  <si>
    <t xml:space="preserve">ID</t>
  </si>
  <si>
    <t xml:space="preserve">Motor</t>
  </si>
  <si>
    <t xml:space="preserve">Clientes
asignados</t>
  </si>
  <si>
    <t xml:space="preserve">Tasa de cierre
del motor</t>
  </si>
  <si>
    <t xml:space="preserve">Oportunidades
que implica</t>
  </si>
  <si>
    <t xml:space="preserve">Ingreso que
genera</t>
  </si>
  <si>
    <t xml:space="preserve">% del
pipeline</t>
  </si>
  <si>
    <t xml:space="preserve">M4</t>
  </si>
  <si>
    <t xml:space="preserve">Referidos, clientes y partners</t>
  </si>
  <si>
    <t xml:space="preserve">M3</t>
  </si>
  <si>
    <t xml:space="preserve">Outbound a cuentas clave</t>
  </si>
  <si>
    <t xml:space="preserve">M1</t>
  </si>
  <si>
    <t xml:space="preserve">Contenido y búsqueda</t>
  </si>
  <si>
    <t xml:space="preserve">M2</t>
  </si>
  <si>
    <t xml:space="preserve">Paid y expos</t>
  </si>
  <si>
    <t xml:space="preserve">TOTAL</t>
  </si>
  <si>
    <t xml:space="preserve">CONTROLES</t>
  </si>
  <si>
    <t xml:space="preserve">El reparto suma los clientes de la meta</t>
  </si>
  <si>
    <t xml:space="preserve">La tasa mezclada del reparto</t>
  </si>
  <si>
    <t xml:space="preserve">Concentración del motor más grande</t>
  </si>
  <si>
    <t xml:space="preserve">Ingreso que produce el reparto</t>
  </si>
  <si>
    <t xml:space="preserve">Motores activos</t>
  </si>
  <si>
    <t xml:space="preserve">REFERENCIA · QUÉ ES CADA MOTOR</t>
  </si>
  <si>
    <t xml:space="preserve">Que te encuentren cuando buscan el problema que resuelves — en Google y en los buscadores de IA.  ·  Madura en: 4 a 6 meses para ver movimiento; el punto de equilibrio llega entre el mes 5 y el 14 según industria.  ·  Qué medir: Tráfico calificado, leads orgánicos, y cuántos MQLs vinieron de búsqueda.</t>
  </si>
  <si>
    <t xml:space="preserve">Paid y eventos</t>
  </si>
  <si>
    <t xml:space="preserve">Comprar atención de quien encaja: búsqueda pagada, LinkedIn, retargeting, expos del sector.  ·  Madura en: Inmediato por construcción. Enciendes y hay tráfico el mismo día.  ·  Qué medir: Costo por lead calificado, no por clic. Y pipeline generado, no impresiones.</t>
  </si>
  <si>
    <t xml:space="preserve">Outbound y cuentas clave</t>
  </si>
  <si>
    <t xml:space="preserve">Ir tú a buscarlos: prospección dirigida al comité de compra de cuentas que ya elegiste.  ·  Madura en: Primeras conversaciones en 3 o 4 semanas; el ciclo de compra viene después.  ·  Qué medir: Reuniones calificadas por semana, y respuesta por campaña — no correos enviados.</t>
  </si>
  <si>
    <t xml:space="preserve">Tus clientes actuales, sus recomendaciones, y las alianzas con quien ya le vende a tu ICP.  ·  Madura en: Semanas, si pides. Años, si esperas a que pase solo.  ·  Qué medir: Referidos pedidos vs recibidos, expansión de cuenta, pipeline de partners.</t>
  </si>
  <si>
    <t xml:space="preserve">Del porcentaje al techo por oportunidad</t>
  </si>
  <si>
    <t xml:space="preserve">El porcentaje de ingreso no sirve para decidir nada por sí solo. Lo que sirve es el techo de costo por oportunidad que implica, y comparar contra él el costo real de cada motor.</t>
  </si>
  <si>
    <t xml:space="preserve">EL TECHO</t>
  </si>
  <si>
    <t xml:space="preserve">Ingreso del año en curso</t>
  </si>
  <si>
    <t xml:space="preserve">Se toma del ingreso asegurado de la hoja anterior. Cámbialo si quieres otra base.</t>
  </si>
  <si>
    <t xml:space="preserve">% del ingreso a marketing</t>
  </si>
  <si>
    <t xml:space="preserve">Rango publicado: 9 a 10% (Benchmarkit 2025), medido en software por suscripción. En proyecto o servicio con márgenes de 25 a 35%, lo sostenible es la parte baja o menos.</t>
  </si>
  <si>
    <t xml:space="preserve">→ Presupuesto de marketing</t>
  </si>
  <si>
    <t xml:space="preserve">% del presupuesto a generación de demanda</t>
  </si>
  <si>
    <t xml:space="preserve">Rango publicado: 34 a 38%. El resto es marca, producto, herramientas y equipo.</t>
  </si>
  <si>
    <t xml:space="preserve">→ Presupuesto de generación de demanda</t>
  </si>
  <si>
    <t xml:space="preserve">Oportunidades que exige la meta</t>
  </si>
  <si>
    <t xml:space="preserve">Viene del total de la hoja «Motores».</t>
  </si>
  <si>
    <t xml:space="preserve">→ Techo de costo por oportunidad</t>
  </si>
  <si>
    <t xml:space="preserve">Por arriba de esto, el motor no cabe en el presupuesto. Es el número con el que se decide.</t>
  </si>
  <si>
    <t xml:space="preserve">→ Costo de adquisición que implica</t>
  </si>
  <si>
    <t xml:space="preserve">→ El CAC como % del ticket del primer año</t>
  </si>
  <si>
    <t xml:space="preserve">Es el número que hay que defender frente a dirección. Si pasa del 30%, revisa el ticket antes que el presupuesto.</t>
  </si>
  <si>
    <t xml:space="preserve">EL REPARTO, MOTOR POR MOTOR</t>
  </si>
  <si>
    <t xml:space="preserve">Presupuesto
asignado</t>
  </si>
  <si>
    <t xml:space="preserve">Oportunidades
esperadas</t>
  </si>
  <si>
    <t xml:space="preserve">Costo por oportunidad  ·  contra el techo</t>
  </si>
  <si>
    <t xml:space="preserve">M4 · Referidos, clientes y partners</t>
  </si>
  <si>
    <t xml:space="preserve">M3 · Outbound a cuentas clave</t>
  </si>
  <si>
    <t xml:space="preserve">M1 · Contenido y búsqueda</t>
  </si>
  <si>
    <t xml:space="preserve">M2 · Paid y expos</t>
  </si>
  <si>
    <t xml:space="preserve">LAS DOS REGLAS DE REPARTO</t>
  </si>
  <si>
    <t xml:space="preserve">70 / 30</t>
  </si>
  <si>
    <t xml:space="preserve">Setenta por ciento a lo que ya funciona y treinta a lo nuevo. Cada trimestre, con el costo por oportunidad medido, se mueve presupuesto del peor motor al mejor.</t>
  </si>
  <si>
    <t xml:space="preserve">Concentración</t>
  </si>
  <si>
    <t xml:space="preserve">El 70% del pipeline que genera marketing viene de solo cuatro canales (Insight Partners, 2025). Repartir entre diez es la forma más rápida de no tener resultados medibles en ninguno.</t>
  </si>
  <si>
    <t xml:space="preserve">Cuidado con el promedio</t>
  </si>
  <si>
    <t xml:space="preserve">Un costo por oportunidad promedio bajo puede esconder un motor carísimo compensado por referidos casi gratis. Míralo siempre motor por motor.</t>
  </si>
  <si>
    <t xml:space="preserve">Forecast y seguimiento a 90 días</t>
  </si>
  <si>
    <t xml:space="preserve">La meta mensual sale del modelo. Captura lo real cada mes y la hoja te dice si la brecha todavía es recuperable dentro de tu ciclo de venta.</t>
  </si>
  <si>
    <t xml:space="preserve">Mes</t>
  </si>
  <si>
    <t xml:space="preserve">Oportunidades
meta</t>
  </si>
  <si>
    <t xml:space="preserve">Oportunidades
reales</t>
  </si>
  <si>
    <t xml:space="preserve">Cumplimiento</t>
  </si>
  <si>
    <t xml:space="preserve">Cierres esperados</t>
  </si>
  <si>
    <t xml:space="preserve">Ingreso esperado</t>
  </si>
  <si>
    <t xml:space="preserve">Lectura</t>
  </si>
  <si>
    <t xml:space="preserve">Mes 1</t>
  </si>
  <si>
    <t xml:space="preserve">Mes 2</t>
  </si>
  <si>
    <t xml:space="preserve">Mes 3</t>
  </si>
  <si>
    <t xml:space="preserve">Mes 4</t>
  </si>
  <si>
    <t xml:space="preserve">Mes 5</t>
  </si>
  <si>
    <t xml:space="preserve">Mes 6</t>
  </si>
  <si>
    <t xml:space="preserve">ACUMULADO</t>
  </si>
  <si>
    <t xml:space="preserve">CÓMO LEER ESTA HOJA</t>
  </si>
  <si>
    <t xml:space="preserve">El desfase es lo que importa</t>
  </si>
  <si>
    <t xml:space="preserve">Las oportunidades de este mes se convierten en ingreso un ciclo de venta después. Un mes corto no se nota en la factura hasta dos o tres meses más tarde: por eso se corrige aquí y no en el estado de resultados.</t>
  </si>
  <si>
    <t xml:space="preserve">«Cierres esperados» no es una promesa</t>
  </si>
  <si>
    <t xml:space="preserve">Es el número de oportunidades por tu tasa de cierre. Sirve para ver la tendencia, no para prometerle un monto a nadie.</t>
  </si>
  <si>
    <t xml:space="preserve">A los 90 días, recalcula</t>
  </si>
  <si>
    <t xml:space="preserve">Con tres meses de datos reales ya tienes tu propia tasa de cierre y tus propias tasas por etapa. Vuelve al «Modelo inverso», sustitúyelas, y la meta del trimestre siguiente deja de ser un deseo.</t>
  </si>
  <si>
    <t xml:space="preserve">Tablero de la junta mensual</t>
  </si>
  <si>
    <t xml:space="preserve">Cobertura contra lo que exige la meta, pipeline velocity y concentración. Tres números y una decisión: qué motor sube, qué motor baja y qué motor se apaga.</t>
  </si>
  <si>
    <t xml:space="preserve">PIPELINE VELOCITY</t>
  </si>
  <si>
    <t xml:space="preserve">Oportunidades abiertas hoy</t>
  </si>
  <si>
    <t xml:space="preserve">Tasa de cierre</t>
  </si>
  <si>
    <t xml:space="preserve">Valor promedio del deal</t>
  </si>
  <si>
    <t xml:space="preserve">Duración del ciclo, en días</t>
  </si>
  <si>
    <t xml:space="preserve">→ Pipeline velocity, por día</t>
  </si>
  <si>
    <t xml:space="preserve">Ingreso que produce tu pipeline por día. No existe benchmark publicado de qué es «buena»: sirve para compararte contra ti mismo.</t>
  </si>
  <si>
    <t xml:space="preserve">→ Pipeline velocity, por mes</t>
  </si>
  <si>
    <t xml:space="preserve">Velocity del periodo anterior, por mes</t>
  </si>
  <si>
    <t xml:space="preserve">El mismo cálculo, con los datos del mes o trimestre pasado.</t>
  </si>
  <si>
    <t xml:space="preserve">→ Variación</t>
  </si>
  <si>
    <t xml:space="preserve">Si subió, revisa cuál de las cuatro palancas la movió antes de celebrar: un ciclo más corto por bajar precio también sube la velocity.</t>
  </si>
  <si>
    <t xml:space="preserve">COBERTURA Y CONCENTRACIÓN</t>
  </si>
  <si>
    <t xml:space="preserve">Pipeline abierto hoy (monto)</t>
  </si>
  <si>
    <t xml:space="preserve">Cobertura que tienes</t>
  </si>
  <si>
    <t xml:space="preserve">Cobertura que exige la meta</t>
  </si>
  <si>
    <t xml:space="preserve">→ Veredicto de cobertura</t>
  </si>
  <si>
    <t xml:space="preserve">Por arriba de 60% sostenido, el sistema depende de un solo motor otra vez.</t>
  </si>
  <si>
    <t xml:space="preserve">Motores con pipeline propio</t>
  </si>
  <si>
    <t xml:space="preserve">QUÉ SE REVISA Y CUÁNDO</t>
  </si>
  <si>
    <t xml:space="preserve">SEMANAL</t>
  </si>
  <si>
    <t xml:space="preserve">Lo que se puede corregir esta semana</t>
  </si>
  <si>
    <t xml:space="preserve">·  Oportunidades nuevas por motor</t>
  </si>
  <si>
    <t xml:space="preserve">·  Reuniones calificadas agendadas</t>
  </si>
  <si>
    <t xml:space="preserve">·  Respuesta por campaña de outbound activa</t>
  </si>
  <si>
    <t xml:space="preserve">·  Cuentas que avanzaron de etapa, y las que se atoraron</t>
  </si>
  <si>
    <t xml:space="preserve">MENSUAL</t>
  </si>
  <si>
    <t xml:space="preserve">Lo que dice si el motor sirve</t>
  </si>
  <si>
    <t xml:space="preserve">·  Costo por oportunidad, por motor</t>
  </si>
  <si>
    <t xml:space="preserve">·  Tasa de cierre por motor — no el promedio general</t>
  </si>
  <si>
    <t xml:space="preserve">·  Cobertura de pipeline contra la meta del trimestre</t>
  </si>
  <si>
    <t xml:space="preserve">·  Concentración: qué porcentaje del pipeline viene del motor más grande</t>
  </si>
  <si>
    <t xml:space="preserve">TRIMESTRAL</t>
  </si>
  <si>
    <t xml:space="preserve">Lo que cambia el plan</t>
  </si>
  <si>
    <t xml:space="preserve">·  Pipeline velocity y qué palanca la movió</t>
  </si>
  <si>
    <t xml:space="preserve">·  Recuperación del costo de adquisición</t>
  </si>
  <si>
    <t xml:space="preserve">·  Motor a matar y motor a duplicar</t>
  </si>
  <si>
    <t xml:space="preserve">·  Las tasas reales medidas, para recalcular la aritmética del siguiente trimestre</t>
  </si>
  <si>
    <t xml:space="preserve">Tasas de conversión publicadas, por industria</t>
  </si>
  <si>
    <t xml:space="preserve">Para arrancar cuando todavía no tienes tus propias tasas. Cópialas al «Modelo inverso» una vez, márcalas como provisionales y reemplázalas a los 90 días con tus números medidos.</t>
  </si>
  <si>
    <t xml:space="preserve">Industria</t>
  </si>
  <si>
    <t xml:space="preserve">MQL → SQL</t>
  </si>
  <si>
    <t xml:space="preserve">SQL → cierre</t>
  </si>
  <si>
    <t xml:space="preserve">Cobertura que implica</t>
  </si>
  <si>
    <t xml:space="preserve">Nota</t>
  </si>
  <si>
    <t xml:space="preserve">Manufactura</t>
  </si>
  <si>
    <t xml:space="preserve">Construcción</t>
  </si>
  <si>
    <t xml:space="preserve">Ingeniería</t>
  </si>
  <si>
    <t xml:space="preserve">Servicios profesionales</t>
  </si>
  <si>
    <t xml:space="preserve">Software B2B</t>
  </si>
  <si>
    <t xml:space="preserve">Distribución y mayoreo</t>
  </si>
  <si>
    <t xml:space="preserve">Rangos completos publicados</t>
  </si>
  <si>
    <t xml:space="preserve">MQL → SQL: 10 a 26%, promedio 15.5%.   ·   SQL → cierre: 11 a 29%, con la mayoría entre 12 y 20%.</t>
  </si>
  <si>
    <t xml:space="preserve">Fuente</t>
  </si>
  <si>
    <t xml:space="preserve">First Page Sage, MQL to SQL y SQL to Closed-Won Conversion Rate by Industry, datos 2019–2025, actualizado dic 2025</t>
  </si>
  <si>
    <t xml:space="preserve">La salvedad</t>
  </si>
  <si>
    <t xml:space="preserve">Es la única fuente pública con corte por industria, pero son datos de los clientes de una agencia de SEO y no declara tamaño de muestra. Úsala como orden de magnitud. Los rangos que más circulan —«MQL→SQL de 13 a 25%», «cierre de 20 a 40%»— no se pueden rastrear a ningún estudio y por eso no aparecen en este archivo.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</si>
</sst>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"/>
    <numFmt numFmtId="166" formatCode="0"/>
    <numFmt numFmtId="167" formatCode="0.0%"/>
    <numFmt numFmtId="168" formatCode="0.0\×"/>
    <numFmt numFmtId="169" formatCode="0.0"/>
    <numFmt numFmtId="170" formatCode="0%"/>
    <numFmt numFmtId="171" formatCode="\+0.0%;\-0.0%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B1240"/>
      <name val="Arial"/>
      <family val="0"/>
      <charset val="1"/>
    </font>
    <font>
      <sz val="9"/>
      <color rgb="FF555C66"/>
      <name val="Arial"/>
      <family val="0"/>
      <charset val="1"/>
    </font>
    <font>
      <b val="true"/>
      <sz val="11"/>
      <color rgb="FF0B1240"/>
      <name val="Arial"/>
      <family val="0"/>
      <charset val="1"/>
    </font>
    <font>
      <b val="true"/>
      <sz val="10"/>
      <color rgb="FF0B1240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0B1240"/>
      <name val="Arial"/>
      <family val="0"/>
      <charset val="1"/>
    </font>
    <font>
      <sz val="9"/>
      <color rgb="FF000000"/>
      <name val="Arial"/>
      <family val="0"/>
      <charset val="1"/>
    </font>
    <font>
      <sz val="8"/>
      <color rgb="FF8A93A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8.5"/>
      <color rgb="FF8A93A0"/>
      <name val="Arial"/>
      <family val="0"/>
      <charset val="1"/>
    </font>
    <font>
      <b val="true"/>
      <sz val="10"/>
      <color rgb="FF2D45E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.5"/>
      <color rgb="FF555C66"/>
      <name val="Arial"/>
      <family val="0"/>
      <charset val="1"/>
    </font>
    <font>
      <b val="true"/>
      <sz val="9"/>
      <color rgb="FF2D45E0"/>
      <name val="Arial"/>
      <family val="0"/>
      <charset val="1"/>
    </font>
    <font>
      <b val="true"/>
      <sz val="9"/>
      <color rgb="FF0B1240"/>
      <name val="Arial"/>
      <family val="0"/>
      <charset val="1"/>
    </font>
    <font>
      <sz val="8.5"/>
      <color rgb="FF555C66"/>
      <name val="Arial"/>
      <family val="0"/>
      <charset val="1"/>
    </font>
    <font>
      <sz val="9.5"/>
      <color rgb="FF0B124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B124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1240"/>
        <bgColor rgb="FF000000"/>
      </patternFill>
    </fill>
    <fill>
      <patternFill patternType="solid">
        <fgColor rgb="FFFFF2CC"/>
        <bgColor rgb="FFFFF4E0"/>
      </patternFill>
    </fill>
    <fill>
      <patternFill patternType="solid">
        <fgColor rgb="FFF4F6F8"/>
        <bgColor rgb="FFFFFFFF"/>
      </patternFill>
    </fill>
    <fill>
      <patternFill patternType="solid">
        <fgColor rgb="FF2D45E0"/>
        <bgColor rgb="FF3366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3E7EC"/>
      </left>
      <right style="thin">
        <color rgb="FFE3E7EC"/>
      </right>
      <top style="thin">
        <color rgb="FFE3E7EC"/>
      </top>
      <bottom style="thin">
        <color rgb="FFE3E7EC"/>
      </bottom>
      <diagonal/>
    </border>
    <border diagonalUp="false" diagonalDown="false">
      <left style="thin">
        <color rgb="FFE3E7EC"/>
      </left>
      <right/>
      <top style="thin">
        <color rgb="FFE3E7EC"/>
      </top>
      <bottom style="thin">
        <color rgb="FFE3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7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E3F7EC"/>
        </patternFill>
      </fill>
    </dxf>
    <dxf>
      <fill>
        <patternFill>
          <bgColor rgb="FFFFF4E0"/>
        </patternFill>
      </fill>
    </dxf>
    <dxf>
      <fill>
        <patternFill>
          <bgColor rgb="FFFDE7E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124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3F7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6F8"/>
      <rgbColor rgb="FFE3E7EC"/>
      <rgbColor rgb="FFFFF4E0"/>
      <rgbColor rgb="FF99CCFF"/>
      <rgbColor rgb="FFFF99CC"/>
      <rgbColor rgb="FFCC99FF"/>
      <rgbColor rgb="FFFDE7E7"/>
      <rgbColor rgb="FF3366FF"/>
      <rgbColor rgb="FF33CCCC"/>
      <rgbColor rgb="FF99CC00"/>
      <rgbColor rgb="FFFFCC00"/>
      <rgbColor rgb="FFFF9900"/>
      <rgbColor rgb="FFFF6600"/>
      <rgbColor rgb="FF555C66"/>
      <rgbColor rgb="FF8A93A0"/>
      <rgbColor rgb="FF003366"/>
      <rgbColor rgb="FF339966"/>
      <rgbColor rgb="FF003300"/>
      <rgbColor rgb="FF333300"/>
      <rgbColor rgb="FF993300"/>
      <rgbColor rgb="FF993366"/>
      <rgbColor rgb="FF2D45E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74"/>
    <col collapsed="false" customWidth="true" hidden="false" outlineLevel="0" max="4" min="4" style="0" width="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</row>
    <row r="2" customFormat="false" ht="24" hidden="false" customHeight="true" outlineLevel="0" collapsed="false">
      <c r="A2" s="2" t="s">
        <v>1</v>
      </c>
      <c r="B2" s="2"/>
      <c r="C2" s="2"/>
      <c r="D2" s="2"/>
    </row>
    <row r="3" customFormat="false" ht="30" hidden="false" customHeight="true" outlineLevel="0" collapsed="false">
      <c r="A3" s="3" t="s">
        <v>2</v>
      </c>
      <c r="B3" s="3"/>
      <c r="C3" s="3"/>
      <c r="D3" s="3"/>
    </row>
    <row r="5" customFormat="false" ht="24" hidden="false" customHeight="true" outlineLevel="0" collapsed="false">
      <c r="B5" s="4" t="s">
        <v>3</v>
      </c>
    </row>
    <row r="6" customFormat="false" ht="39.75" hidden="false" customHeight="true" outlineLevel="0" collapsed="false">
      <c r="B6" s="5" t="s">
        <v>4</v>
      </c>
      <c r="C6" s="6" t="s">
        <v>5</v>
      </c>
    </row>
    <row r="7" customFormat="false" ht="39.75" hidden="false" customHeight="true" outlineLevel="0" collapsed="false">
      <c r="B7" s="5" t="s">
        <v>6</v>
      </c>
      <c r="C7" s="6" t="s">
        <v>7</v>
      </c>
    </row>
    <row r="8" customFormat="false" ht="39.75" hidden="false" customHeight="true" outlineLevel="0" collapsed="false">
      <c r="B8" s="5" t="s">
        <v>8</v>
      </c>
      <c r="C8" s="6" t="s">
        <v>9</v>
      </c>
    </row>
    <row r="9" customFormat="false" ht="39.75" hidden="false" customHeight="true" outlineLevel="0" collapsed="false">
      <c r="B9" s="5" t="s">
        <v>10</v>
      </c>
      <c r="C9" s="6" t="s">
        <v>11</v>
      </c>
    </row>
    <row r="10" customFormat="false" ht="39.75" hidden="false" customHeight="true" outlineLevel="0" collapsed="false">
      <c r="B10" s="5" t="s">
        <v>12</v>
      </c>
      <c r="C10" s="6" t="s">
        <v>13</v>
      </c>
    </row>
    <row r="11" customFormat="false" ht="39.75" hidden="false" customHeight="true" outlineLevel="0" collapsed="false">
      <c r="B11" s="5" t="s">
        <v>14</v>
      </c>
      <c r="C11" s="6" t="s">
        <v>15</v>
      </c>
    </row>
    <row r="12" customFormat="false" ht="24" hidden="false" customHeight="true" outlineLevel="0" collapsed="false">
      <c r="B12" s="4" t="s">
        <v>16</v>
      </c>
    </row>
    <row r="13" customFormat="false" ht="39.75" hidden="false" customHeight="true" outlineLevel="0" collapsed="false">
      <c r="B13" s="5" t="s">
        <v>17</v>
      </c>
      <c r="C13" s="6" t="s">
        <v>18</v>
      </c>
    </row>
    <row r="14" customFormat="false" ht="39.75" hidden="false" customHeight="true" outlineLevel="0" collapsed="false">
      <c r="B14" s="5" t="s">
        <v>19</v>
      </c>
      <c r="C14" s="6" t="s">
        <v>20</v>
      </c>
    </row>
    <row r="15" customFormat="false" ht="39.75" hidden="false" customHeight="true" outlineLevel="0" collapsed="false">
      <c r="B15" s="5" t="s">
        <v>21</v>
      </c>
      <c r="C15" s="6" t="s">
        <v>22</v>
      </c>
    </row>
    <row r="16" customFormat="false" ht="39.75" hidden="false" customHeight="true" outlineLevel="0" collapsed="false">
      <c r="B16" s="5" t="s">
        <v>23</v>
      </c>
      <c r="C16" s="6" t="s">
        <v>24</v>
      </c>
    </row>
    <row r="17" customFormat="false" ht="39.75" hidden="false" customHeight="true" outlineLevel="0" collapsed="false">
      <c r="B17" s="5" t="s">
        <v>25</v>
      </c>
      <c r="C17" s="6" t="s">
        <v>26</v>
      </c>
    </row>
    <row r="19" customFormat="false" ht="15" hidden="false" customHeight="false" outlineLevel="0" collapsed="false">
      <c r="B19" s="4" t="s">
        <v>27</v>
      </c>
    </row>
    <row r="20" customFormat="false" ht="18" hidden="false" customHeight="true" outlineLevel="0" collapsed="false">
      <c r="B20" s="7" t="s">
        <v>28</v>
      </c>
      <c r="C20" s="8" t="s">
        <v>29</v>
      </c>
    </row>
    <row r="21" customFormat="false" ht="18" hidden="false" customHeight="true" outlineLevel="0" collapsed="false">
      <c r="B21" s="9" t="s">
        <v>28</v>
      </c>
      <c r="C21" s="8" t="s">
        <v>30</v>
      </c>
    </row>
    <row r="22" customFormat="false" ht="18" hidden="false" customHeight="true" outlineLevel="0" collapsed="false">
      <c r="B22" s="10" t="s">
        <v>28</v>
      </c>
      <c r="C22" s="8" t="s">
        <v>31</v>
      </c>
    </row>
    <row r="25" customFormat="false" ht="60" hidden="false" customHeight="true" outlineLevel="0" collapsed="false">
      <c r="B25" s="11" t="s">
        <v>32</v>
      </c>
      <c r="C25" s="11"/>
    </row>
  </sheetData>
  <mergeCells count="4">
    <mergeCell ref="A1:D1"/>
    <mergeCell ref="A2:D2"/>
    <mergeCell ref="A3:D3"/>
    <mergeCell ref="B25:C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4"/>
    <col collapsed="false" customWidth="true" hidden="false" outlineLevel="0" max="4" min="4" style="0" width="18"/>
    <col collapsed="false" customWidth="true" hidden="false" outlineLevel="0" max="5" min="5" style="0" width="4"/>
    <col collapsed="false" customWidth="true" hidden="false" outlineLevel="0" max="6" min="6" style="0" width="62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" hidden="false" customHeight="true" outlineLevel="0" collapsed="false">
      <c r="A2" s="2" t="s">
        <v>33</v>
      </c>
      <c r="B2" s="2"/>
      <c r="C2" s="2"/>
      <c r="D2" s="2"/>
      <c r="E2" s="2"/>
      <c r="F2" s="2"/>
    </row>
    <row r="3" customFormat="false" ht="30" hidden="false" customHeight="true" outlineLevel="0" collapsed="false">
      <c r="A3" s="3" t="s">
        <v>34</v>
      </c>
      <c r="B3" s="3"/>
      <c r="C3" s="3"/>
      <c r="D3" s="3"/>
      <c r="E3" s="3"/>
      <c r="F3" s="3"/>
    </row>
    <row r="5" customFormat="false" ht="19.5" hidden="false" customHeight="true" outlineLevel="0" collapsed="false">
      <c r="B5" s="12" t="s">
        <v>35</v>
      </c>
      <c r="C5" s="12"/>
      <c r="D5" s="12"/>
      <c r="E5" s="12"/>
      <c r="F5" s="12"/>
    </row>
    <row r="6" customFormat="false" ht="19.5" hidden="false" customHeight="true" outlineLevel="0" collapsed="false">
      <c r="B6" s="13" t="s">
        <v>36</v>
      </c>
      <c r="D6" s="14" t="n">
        <v>20000000</v>
      </c>
      <c r="F6" s="15" t="s">
        <v>37</v>
      </c>
    </row>
    <row r="7" customFormat="false" ht="19.5" hidden="false" customHeight="true" outlineLevel="0" collapsed="false">
      <c r="B7" s="13" t="s">
        <v>38</v>
      </c>
      <c r="D7" s="14" t="n">
        <v>14000000</v>
      </c>
      <c r="F7" s="15" t="s">
        <v>39</v>
      </c>
    </row>
    <row r="8" customFormat="false" ht="19.5" hidden="false" customHeight="true" outlineLevel="0" collapsed="false">
      <c r="B8" s="5" t="s">
        <v>40</v>
      </c>
      <c r="D8" s="16" t="n">
        <f aca="false">D6-D7</f>
        <v>6000000</v>
      </c>
      <c r="F8" s="15" t="s">
        <v>41</v>
      </c>
    </row>
    <row r="9" customFormat="false" ht="19.5" hidden="false" customHeight="true" outlineLevel="0" collapsed="false">
      <c r="B9" s="13" t="s">
        <v>42</v>
      </c>
      <c r="D9" s="14" t="n">
        <v>85000</v>
      </c>
      <c r="F9" s="15" t="s">
        <v>43</v>
      </c>
    </row>
    <row r="10" customFormat="false" ht="19.5" hidden="false" customHeight="true" outlineLevel="0" collapsed="false">
      <c r="B10" s="5" t="s">
        <v>44</v>
      </c>
      <c r="D10" s="17" t="n">
        <f aca="false">ROUNDUP(D8/D9,0)</f>
        <v>71</v>
      </c>
      <c r="F10" s="15" t="s">
        <v>45</v>
      </c>
    </row>
    <row r="11" customFormat="false" ht="19.5" hidden="false" customHeight="true" outlineLevel="0" collapsed="false">
      <c r="B11" s="12" t="s">
        <v>46</v>
      </c>
      <c r="C11" s="12"/>
      <c r="D11" s="12"/>
      <c r="E11" s="12"/>
      <c r="F11" s="12"/>
    </row>
    <row r="12" customFormat="false" ht="19.5" hidden="false" customHeight="true" outlineLevel="0" collapsed="false">
      <c r="B12" s="13" t="s">
        <v>47</v>
      </c>
      <c r="D12" s="18" t="n">
        <v>0.22</v>
      </c>
      <c r="F12" s="15" t="s">
        <v>48</v>
      </c>
    </row>
    <row r="13" customFormat="false" ht="19.5" hidden="false" customHeight="true" outlineLevel="0" collapsed="false">
      <c r="B13" s="5" t="s">
        <v>49</v>
      </c>
      <c r="D13" s="17" t="n">
        <f aca="false">ROUNDUP(D10/D12,0)</f>
        <v>323</v>
      </c>
      <c r="F13" s="15" t="s">
        <v>50</v>
      </c>
    </row>
    <row r="14" customFormat="false" ht="19.5" hidden="false" customHeight="true" outlineLevel="0" collapsed="false">
      <c r="B14" s="5" t="s">
        <v>51</v>
      </c>
      <c r="D14" s="19" t="n">
        <f aca="false">1/D12</f>
        <v>4.54545454545455</v>
      </c>
      <c r="F14" s="15" t="s">
        <v>52</v>
      </c>
    </row>
    <row r="15" customFormat="false" ht="19.5" hidden="false" customHeight="true" outlineLevel="0" collapsed="false">
      <c r="B15" s="5" t="s">
        <v>53</v>
      </c>
      <c r="D15" s="16" t="n">
        <f aca="false">D8*D14</f>
        <v>27272727.2727273</v>
      </c>
      <c r="F15" s="15" t="s">
        <v>54</v>
      </c>
    </row>
    <row r="16" customFormat="false" ht="19.5" hidden="false" customHeight="true" outlineLevel="0" collapsed="false">
      <c r="B16" s="13" t="s">
        <v>55</v>
      </c>
      <c r="D16" s="20" t="n">
        <v>12</v>
      </c>
      <c r="F16" s="15" t="s">
        <v>56</v>
      </c>
    </row>
    <row r="17" customFormat="false" ht="19.5" hidden="false" customHeight="true" outlineLevel="0" collapsed="false">
      <c r="B17" s="5" t="s">
        <v>57</v>
      </c>
      <c r="D17" s="21" t="n">
        <f aca="false">ROUND(D13/D16,1)</f>
        <v>26.9</v>
      </c>
      <c r="F17" s="15" t="s">
        <v>58</v>
      </c>
    </row>
    <row r="18" customFormat="false" ht="19.5" hidden="false" customHeight="true" outlineLevel="0" collapsed="false">
      <c r="B18" s="13" t="s">
        <v>59</v>
      </c>
      <c r="D18" s="20" t="n">
        <v>75</v>
      </c>
      <c r="F18" s="15" t="s">
        <v>60</v>
      </c>
    </row>
    <row r="19" customFormat="false" ht="19.5" hidden="false" customHeight="true" outlineLevel="0" collapsed="false">
      <c r="B19" s="5" t="s">
        <v>61</v>
      </c>
      <c r="D19" s="21" t="n">
        <f aca="false">ROUND(D17*D12,1)</f>
        <v>5.9</v>
      </c>
      <c r="F19" s="15" t="s">
        <v>62</v>
      </c>
    </row>
    <row r="20" customFormat="false" ht="19.5" hidden="false" customHeight="true" outlineLevel="0" collapsed="false">
      <c r="B20" s="12" t="s">
        <v>63</v>
      </c>
      <c r="C20" s="12"/>
      <c r="D20" s="12"/>
      <c r="E20" s="12"/>
      <c r="F20" s="12"/>
    </row>
    <row r="21" customFormat="false" ht="19.5" hidden="false" customHeight="true" outlineLevel="0" collapsed="false">
      <c r="B21" s="5" t="s">
        <v>64</v>
      </c>
      <c r="D21" s="22" t="n">
        <f aca="false">IFERROR((Motores!F8+Motores!F9)/Motores!F10,0)</f>
        <v>0.555205047318612</v>
      </c>
      <c r="F21" s="15" t="s">
        <v>65</v>
      </c>
    </row>
    <row r="22" customFormat="false" ht="19.5" hidden="false" customHeight="true" outlineLevel="0" collapsed="false">
      <c r="B22" s="5" t="s">
        <v>66</v>
      </c>
      <c r="D22" s="17" t="n">
        <f aca="false">ROUNDUP(D13*D21,0)</f>
        <v>180</v>
      </c>
    </row>
    <row r="23" customFormat="false" ht="19.5" hidden="false" customHeight="true" outlineLevel="0" collapsed="false">
      <c r="B23" s="13" t="s">
        <v>67</v>
      </c>
      <c r="D23" s="18" t="n">
        <v>0.6</v>
      </c>
      <c r="F23" s="15" t="s">
        <v>68</v>
      </c>
    </row>
    <row r="24" customFormat="false" ht="19.5" hidden="false" customHeight="true" outlineLevel="0" collapsed="false">
      <c r="B24" s="13" t="s">
        <v>69</v>
      </c>
      <c r="D24" s="18" t="n">
        <v>0.26</v>
      </c>
      <c r="F24" s="15" t="s">
        <v>70</v>
      </c>
    </row>
    <row r="25" customFormat="false" ht="19.5" hidden="false" customHeight="true" outlineLevel="0" collapsed="false">
      <c r="B25" s="13" t="s">
        <v>71</v>
      </c>
      <c r="D25" s="18" t="n">
        <v>0.35</v>
      </c>
      <c r="F25" s="15" t="s">
        <v>72</v>
      </c>
    </row>
    <row r="26" customFormat="false" ht="19.5" hidden="false" customHeight="true" outlineLevel="0" collapsed="false">
      <c r="B26" s="5" t="s">
        <v>73</v>
      </c>
      <c r="D26" s="17" t="n">
        <f aca="false">ROUNDUP(D22/D23,0)</f>
        <v>300</v>
      </c>
    </row>
    <row r="27" customFormat="false" ht="19.5" hidden="false" customHeight="true" outlineLevel="0" collapsed="false">
      <c r="B27" s="5" t="s">
        <v>74</v>
      </c>
      <c r="D27" s="17" t="n">
        <f aca="false">ROUNDUP(D26/D24,0)</f>
        <v>1154</v>
      </c>
    </row>
    <row r="28" customFormat="false" ht="19.5" hidden="false" customHeight="true" outlineLevel="0" collapsed="false">
      <c r="B28" s="5" t="s">
        <v>75</v>
      </c>
      <c r="D28" s="17" t="n">
        <f aca="false">ROUNDUP(D27/D25,0)</f>
        <v>3298</v>
      </c>
    </row>
    <row r="29" customFormat="false" ht="19.5" hidden="false" customHeight="true" outlineLevel="0" collapsed="false">
      <c r="B29" s="5" t="s">
        <v>76</v>
      </c>
      <c r="D29" s="17" t="n">
        <f aca="false">ROUND(D28/D16,0)</f>
        <v>275</v>
      </c>
      <c r="F29" s="15" t="s">
        <v>77</v>
      </c>
    </row>
    <row r="30" customFormat="false" ht="19.5" hidden="false" customHeight="true" outlineLevel="0" collapsed="false">
      <c r="B30" s="13" t="s">
        <v>78</v>
      </c>
      <c r="D30" s="20" t="n">
        <v>40</v>
      </c>
    </row>
    <row r="31" customFormat="false" ht="30" hidden="false" customHeight="true" outlineLevel="0" collapsed="false">
      <c r="B31" s="5" t="s">
        <v>79</v>
      </c>
      <c r="D31" s="23" t="str">
        <f aca="false">IF(D30=0,"Captura lo que generas hoy",IF(D29&lt;=D30,"OK · el embudo actual alcanza",IF(D29&lt;=D30*2,"ATENCIÓN · hay que casi duplicar la entrada de leads","NO CABE · el embudo tendría que crecer "&amp;TEXT(D29/D30,"0.0")&amp;" veces. Mueve parte de la meta a outbound y referidos, que no pasan por aquí")))</f>
        <v>NO CABE · el embudo tendría que crecer 6.9 veces. Mueve parte de la meta a outbound y referidos, que no pasan por aquí</v>
      </c>
      <c r="E31" s="23"/>
      <c r="F31" s="23"/>
    </row>
    <row r="32" customFormat="false" ht="19.5" hidden="false" customHeight="true" outlineLevel="0" collapsed="false">
      <c r="B32" s="12" t="s">
        <v>80</v>
      </c>
      <c r="C32" s="12"/>
      <c r="D32" s="12"/>
      <c r="E32" s="12"/>
      <c r="F32" s="12"/>
    </row>
    <row r="33" customFormat="false" ht="21.75" hidden="false" customHeight="true" outlineLevel="0" collapsed="false">
      <c r="B33" s="13" t="s">
        <v>81</v>
      </c>
      <c r="D33" s="14" t="n">
        <v>9000000</v>
      </c>
    </row>
    <row r="34" customFormat="false" ht="21.75" hidden="false" customHeight="true" outlineLevel="0" collapsed="false">
      <c r="B34" s="5" t="s">
        <v>82</v>
      </c>
      <c r="D34" s="19" t="n">
        <f aca="false">IFERROR(D33/D8,0)</f>
        <v>1.5</v>
      </c>
    </row>
    <row r="35" customFormat="false" ht="21.75" hidden="false" customHeight="true" outlineLevel="0" collapsed="false">
      <c r="B35" s="5" t="s">
        <v>83</v>
      </c>
      <c r="D35" s="19" t="n">
        <f aca="false">D34-D14</f>
        <v>-3.04545454545455</v>
      </c>
    </row>
    <row r="36" customFormat="false" ht="21.75" hidden="false" customHeight="true" outlineLevel="0" collapsed="false">
      <c r="B36" s="5" t="s">
        <v>84</v>
      </c>
      <c r="D36" s="23" t="str">
        <f aca="false">IF(D33=0,"Captura tu pipeline abierto",IF(D34&gt;=D14,"OK · la cobertura alcanza para la meta",IF(D34&gt;=D14*0.75,"ATENCIÓN · falta cobertura, todavía hay tiempo de generarla","CRÍTICO · la meta no cabe en este pipeline: genera más o bájala")))</f>
        <v>CRÍTICO · la meta no cabe en este pipeline: genera más o bájala</v>
      </c>
      <c r="E36" s="23"/>
      <c r="F36" s="23"/>
    </row>
  </sheetData>
  <mergeCells count="9">
    <mergeCell ref="A1:F1"/>
    <mergeCell ref="A2:F2"/>
    <mergeCell ref="A3:F3"/>
    <mergeCell ref="B5:F5"/>
    <mergeCell ref="B11:F11"/>
    <mergeCell ref="B20:F20"/>
    <mergeCell ref="D31:F31"/>
    <mergeCell ref="B32:F32"/>
    <mergeCell ref="D36:F36"/>
  </mergeCells>
  <conditionalFormatting sqref="D31">
    <cfRule type="expression" priority="2" aboveAverage="0" equalAverage="0" bottom="0" percent="0" rank="0" text="" dxfId="0">
      <formula>ISNUMBER(SEARCH("OK",$D$31))</formula>
    </cfRule>
    <cfRule type="expression" priority="3" aboveAverage="0" equalAverage="0" bottom="0" percent="0" rank="0" text="" dxfId="1">
      <formula>ISNUMBER(SEARCH("ATENCIÓN",$D$31))</formula>
    </cfRule>
    <cfRule type="expression" priority="4" aboveAverage="0" equalAverage="0" bottom="0" percent="0" rank="0" text="" dxfId="2">
      <formula>ISNUMBER(SEARCH("NO CABE",$D$31))</formula>
    </cfRule>
  </conditionalFormatting>
  <conditionalFormatting sqref="D36">
    <cfRule type="expression" priority="5" aboveAverage="0" equalAverage="0" bottom="0" percent="0" rank="0" text="" dxfId="0">
      <formula>ISNUMBER(SEARCH("OK",$D$36))</formula>
    </cfRule>
    <cfRule type="expression" priority="6" aboveAverage="0" equalAverage="0" bottom="0" percent="0" rank="0" text="" dxfId="1">
      <formula>ISNUMBER(SEARCH("ATENCIÓN",$D$36))</formula>
    </cfRule>
    <cfRule type="expression" priority="7" aboveAverage="0" equalAverage="0" bottom="0" percent="0" rank="0" text="" dxfId="2">
      <formula>ISNUMBER(SEARCH("CRÍTICO",$D$36))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3" min="3" style="0" width="34"/>
    <col collapsed="false" customWidth="true" hidden="false" outlineLevel="0" max="5" min="4" style="0" width="14"/>
    <col collapsed="false" customWidth="true" hidden="false" outlineLevel="0" max="6" min="6" style="0" width="16"/>
    <col collapsed="false" customWidth="true" hidden="false" outlineLevel="0" max="7" min="7" style="0" width="18"/>
    <col collapsed="false" customWidth="true" hidden="false" outlineLevel="0" max="8" min="8" style="0" width="14"/>
    <col collapsed="false" customWidth="true" hidden="false" outlineLevel="0" max="9" min="9" style="0" width="46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4" hidden="false" customHeight="true" outlineLevel="0" collapsed="false">
      <c r="A2" s="2" t="s">
        <v>85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3" t="s">
        <v>86</v>
      </c>
      <c r="B3" s="3"/>
      <c r="C3" s="3"/>
      <c r="D3" s="3"/>
      <c r="E3" s="3"/>
      <c r="F3" s="3"/>
      <c r="G3" s="3"/>
      <c r="H3" s="3"/>
    </row>
    <row r="5" customFormat="false" ht="27.75" hidden="false" customHeight="true" outlineLevel="0" collapsed="false">
      <c r="A5" s="24"/>
      <c r="B5" s="25" t="s">
        <v>87</v>
      </c>
      <c r="C5" s="25" t="s">
        <v>88</v>
      </c>
      <c r="D5" s="25" t="s">
        <v>89</v>
      </c>
      <c r="E5" s="25" t="s">
        <v>90</v>
      </c>
      <c r="F5" s="25" t="s">
        <v>91</v>
      </c>
      <c r="G5" s="25" t="s">
        <v>92</v>
      </c>
      <c r="H5" s="25" t="s">
        <v>93</v>
      </c>
    </row>
    <row r="6" customFormat="false" ht="19.5" hidden="false" customHeight="true" outlineLevel="0" collapsed="false">
      <c r="B6" s="26" t="s">
        <v>94</v>
      </c>
      <c r="C6" s="27" t="s">
        <v>95</v>
      </c>
      <c r="D6" s="20" t="n">
        <v>24</v>
      </c>
      <c r="E6" s="18" t="n">
        <v>0.35</v>
      </c>
      <c r="F6" s="17" t="n">
        <f aca="false">IF(E6=0,0,ROUNDUP(D6/E6,0))</f>
        <v>69</v>
      </c>
      <c r="G6" s="16" t="n">
        <f aca="false">D6*'Modelo inverso'!$D$9</f>
        <v>2040000</v>
      </c>
      <c r="H6" s="22" t="n">
        <f aca="false">IFERROR(F6/SUM($F$6:$F$9),0)</f>
        <v>0.217665615141956</v>
      </c>
    </row>
    <row r="7" customFormat="false" ht="19.5" hidden="false" customHeight="true" outlineLevel="0" collapsed="false">
      <c r="B7" s="26" t="s">
        <v>96</v>
      </c>
      <c r="C7" s="27" t="s">
        <v>97</v>
      </c>
      <c r="D7" s="20" t="n">
        <v>18</v>
      </c>
      <c r="E7" s="18" t="n">
        <v>0.25</v>
      </c>
      <c r="F7" s="17" t="n">
        <f aca="false">IF(E7=0,0,ROUNDUP(D7/E7,0))</f>
        <v>72</v>
      </c>
      <c r="G7" s="16" t="n">
        <f aca="false">D7*'Modelo inverso'!$D$9</f>
        <v>1530000</v>
      </c>
      <c r="H7" s="22" t="n">
        <f aca="false">IFERROR(F7/SUM($F$6:$F$9),0)</f>
        <v>0.227129337539432</v>
      </c>
    </row>
    <row r="8" customFormat="false" ht="19.5" hidden="false" customHeight="true" outlineLevel="0" collapsed="false">
      <c r="B8" s="26" t="s">
        <v>98</v>
      </c>
      <c r="C8" s="27" t="s">
        <v>99</v>
      </c>
      <c r="D8" s="20" t="n">
        <v>16</v>
      </c>
      <c r="E8" s="18" t="n">
        <v>0.18</v>
      </c>
      <c r="F8" s="17" t="n">
        <f aca="false">IF(E8=0,0,ROUNDUP(D8/E8,0))</f>
        <v>89</v>
      </c>
      <c r="G8" s="16" t="n">
        <f aca="false">D8*'Modelo inverso'!$D$9</f>
        <v>1360000</v>
      </c>
      <c r="H8" s="22" t="n">
        <f aca="false">IFERROR(F8/SUM($F$6:$F$9),0)</f>
        <v>0.280757097791798</v>
      </c>
    </row>
    <row r="9" customFormat="false" ht="19.5" hidden="false" customHeight="true" outlineLevel="0" collapsed="false">
      <c r="B9" s="26" t="s">
        <v>100</v>
      </c>
      <c r="C9" s="27" t="s">
        <v>101</v>
      </c>
      <c r="D9" s="20" t="n">
        <v>13</v>
      </c>
      <c r="E9" s="18" t="n">
        <v>0.15</v>
      </c>
      <c r="F9" s="17" t="n">
        <f aca="false">IF(E9=0,0,ROUNDUP(D9/E9,0))</f>
        <v>87</v>
      </c>
      <c r="G9" s="16" t="n">
        <f aca="false">D9*'Modelo inverso'!$D$9</f>
        <v>1105000</v>
      </c>
      <c r="H9" s="22" t="n">
        <f aca="false">IFERROR(F9/SUM($F$6:$F$9),0)</f>
        <v>0.274447949526814</v>
      </c>
    </row>
    <row r="10" customFormat="false" ht="21.75" hidden="false" customHeight="true" outlineLevel="0" collapsed="false">
      <c r="B10" s="28"/>
      <c r="C10" s="29" t="s">
        <v>102</v>
      </c>
      <c r="D10" s="30" t="n">
        <f aca="false">SUM(D6:D9)</f>
        <v>71</v>
      </c>
      <c r="E10" s="31" t="n">
        <f aca="false">IFERROR(D10/F10,0)</f>
        <v>0.22397476340694</v>
      </c>
      <c r="F10" s="30" t="n">
        <f aca="false">SUM(F6:F9)</f>
        <v>317</v>
      </c>
      <c r="G10" s="32" t="n">
        <f aca="false">SUM(G6:G9)</f>
        <v>6035000</v>
      </c>
      <c r="H10" s="31" t="n">
        <f aca="false">IFERROR(SUM(H6:H9),0)</f>
        <v>1</v>
      </c>
    </row>
    <row r="12" customFormat="false" ht="19.5" hidden="false" customHeight="true" outlineLevel="0" collapsed="false">
      <c r="B12" s="12" t="s">
        <v>103</v>
      </c>
      <c r="C12" s="12"/>
      <c r="D12" s="12"/>
      <c r="E12" s="12"/>
      <c r="F12" s="12"/>
      <c r="G12" s="12"/>
      <c r="H12" s="12"/>
    </row>
    <row r="13" customFormat="false" ht="24" hidden="false" customHeight="true" outlineLevel="0" collapsed="false">
      <c r="C13" s="5" t="s">
        <v>104</v>
      </c>
      <c r="D13" s="33" t="str">
        <f aca="false">IF(D10='Modelo inverso'!$D$10,"OK · "&amp;D10&amp;" clientes","NO CUADRA · el reparto suma "&amp;D10&amp;" y la meta pide "&amp;'Modelo inverso'!$D$10)</f>
        <v>OK · 71 clientes</v>
      </c>
      <c r="E13" s="33"/>
      <c r="F13" s="33"/>
      <c r="G13" s="33"/>
      <c r="H13" s="33"/>
    </row>
    <row r="14" customFormat="false" ht="24" hidden="false" customHeight="true" outlineLevel="0" collapsed="false">
      <c r="C14" s="5" t="s">
        <v>105</v>
      </c>
      <c r="D14" s="33" t="str">
        <f aca="false">TEXT(E10,"0.0%")&amp;" · la global que capturaste es "&amp;TEXT('Modelo inverso'!$D$12,"0.0%")&amp;IF(ABS(E10-'Modelo inverso'!$D$12)&gt;0.02," — se separaron más de 2 puntos, revisa el reparto","")</f>
        <v>22.4% · la global que capturaste es 22.0%</v>
      </c>
      <c r="E14" s="33"/>
      <c r="F14" s="33"/>
      <c r="G14" s="33"/>
      <c r="H14" s="33"/>
    </row>
    <row r="15" customFormat="false" ht="24" hidden="false" customHeight="true" outlineLevel="0" collapsed="false">
      <c r="C15" s="5" t="s">
        <v>106</v>
      </c>
      <c r="D15" s="33" t="str">
        <f aca="false">TEXT(MAX(H6:H9),"0%")&amp;IF(MAX(H6:H9)&gt;0.6," · DEMASIADO — ningún motor debería pasar del 60% del pipeline de forma sostenida"," · dentro del límite recomendado de 60%")</f>
        <v>28% · dentro del límite recomendado de 60%</v>
      </c>
      <c r="E15" s="33"/>
      <c r="F15" s="33"/>
      <c r="G15" s="33"/>
      <c r="H15" s="33"/>
    </row>
    <row r="16" customFormat="false" ht="24" hidden="false" customHeight="true" outlineLevel="0" collapsed="false">
      <c r="C16" s="5" t="s">
        <v>107</v>
      </c>
      <c r="D16" s="33" t="str">
        <f aca="false">TEXT(G10,"$#,##0")&amp;IF(G10&gt;='Modelo inverso'!$D$8," · alcanza la meta"," · queda corto de la meta de "&amp;TEXT('Modelo inverso'!$D$8,"$#,##0"))</f>
        <v>$6,035,000 · alcanza la meta</v>
      </c>
      <c r="E16" s="33"/>
      <c r="F16" s="33"/>
      <c r="G16" s="33"/>
      <c r="H16" s="33"/>
    </row>
    <row r="17" customFormat="false" ht="24" hidden="false" customHeight="true" outlineLevel="0" collapsed="false">
      <c r="C17" s="5" t="s">
        <v>108</v>
      </c>
      <c r="D17" s="33" t="str">
        <f aca="false">COUNTIF(D6:D9,"&gt;0")&amp;" de 4"&amp;IF(COUNTIF(D6:D9,"&gt;0")&lt;2," · un solo motor no es un sistema: es una apuesta que va bien",IF(COUNTIF(D6:D9,"&gt;0")=4," · con equipo chico, cuatro motores suelen ser cuatro a medias",""))</f>
        <v>4 de 4 · con equipo chico, cuatro motores suelen ser cuatro a medias</v>
      </c>
      <c r="E17" s="33"/>
      <c r="F17" s="33"/>
      <c r="G17" s="33"/>
      <c r="H17" s="33"/>
    </row>
    <row r="19" customFormat="false" ht="19.5" hidden="false" customHeight="true" outlineLevel="0" collapsed="false">
      <c r="B19" s="12" t="s">
        <v>109</v>
      </c>
      <c r="C19" s="12"/>
      <c r="D19" s="12"/>
      <c r="E19" s="12"/>
      <c r="F19" s="12"/>
      <c r="G19" s="12"/>
      <c r="H19" s="12"/>
    </row>
    <row r="20" customFormat="false" ht="30" hidden="false" customHeight="true" outlineLevel="0" collapsed="false">
      <c r="B20" s="34" t="s">
        <v>98</v>
      </c>
      <c r="C20" s="35" t="s">
        <v>99</v>
      </c>
      <c r="D20" s="36" t="s">
        <v>110</v>
      </c>
      <c r="E20" s="36"/>
      <c r="F20" s="36"/>
      <c r="G20" s="36"/>
      <c r="H20" s="36"/>
    </row>
    <row r="21" customFormat="false" ht="30" hidden="false" customHeight="true" outlineLevel="0" collapsed="false">
      <c r="B21" s="34" t="s">
        <v>100</v>
      </c>
      <c r="C21" s="35" t="s">
        <v>111</v>
      </c>
      <c r="D21" s="36" t="s">
        <v>112</v>
      </c>
      <c r="E21" s="36"/>
      <c r="F21" s="36"/>
      <c r="G21" s="36"/>
      <c r="H21" s="36"/>
    </row>
    <row r="22" customFormat="false" ht="30" hidden="false" customHeight="true" outlineLevel="0" collapsed="false">
      <c r="B22" s="34" t="s">
        <v>96</v>
      </c>
      <c r="C22" s="35" t="s">
        <v>113</v>
      </c>
      <c r="D22" s="36" t="s">
        <v>114</v>
      </c>
      <c r="E22" s="36"/>
      <c r="F22" s="36"/>
      <c r="G22" s="36"/>
      <c r="H22" s="36"/>
    </row>
    <row r="23" customFormat="false" ht="30" hidden="false" customHeight="true" outlineLevel="0" collapsed="false">
      <c r="B23" s="34" t="s">
        <v>94</v>
      </c>
      <c r="C23" s="35" t="s">
        <v>95</v>
      </c>
      <c r="D23" s="36" t="s">
        <v>115</v>
      </c>
      <c r="E23" s="36"/>
      <c r="F23" s="36"/>
      <c r="G23" s="36"/>
      <c r="H23" s="36"/>
    </row>
  </sheetData>
  <mergeCells count="14">
    <mergeCell ref="A1:H1"/>
    <mergeCell ref="A2:H2"/>
    <mergeCell ref="A3:H3"/>
    <mergeCell ref="B12:H12"/>
    <mergeCell ref="D13:H13"/>
    <mergeCell ref="D14:H14"/>
    <mergeCell ref="D15:H15"/>
    <mergeCell ref="D16:H16"/>
    <mergeCell ref="D17:H17"/>
    <mergeCell ref="B19:H19"/>
    <mergeCell ref="D20:H20"/>
    <mergeCell ref="D21:H21"/>
    <mergeCell ref="D22:H22"/>
    <mergeCell ref="D23:H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4"/>
    <col collapsed="false" customWidth="true" hidden="false" outlineLevel="0" max="4" min="4" style="0" width="18"/>
    <col collapsed="false" customWidth="true" hidden="false" outlineLevel="0" max="5" min="5" style="0" width="4"/>
    <col collapsed="false" customWidth="true" hidden="false" outlineLevel="0" max="6" min="6" style="0" width="18"/>
    <col collapsed="false" customWidth="true" hidden="false" outlineLevel="0" max="7" min="7" style="0" width="52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4" hidden="false" customHeight="true" outlineLevel="0" collapsed="false">
      <c r="A2" s="2" t="s">
        <v>116</v>
      </c>
      <c r="B2" s="2"/>
      <c r="C2" s="2"/>
      <c r="D2" s="2"/>
      <c r="E2" s="2"/>
      <c r="F2" s="2"/>
      <c r="G2" s="2"/>
    </row>
    <row r="3" customFormat="false" ht="30" hidden="false" customHeight="true" outlineLevel="0" collapsed="false">
      <c r="A3" s="3" t="s">
        <v>117</v>
      </c>
      <c r="B3" s="3"/>
      <c r="C3" s="3"/>
      <c r="D3" s="3"/>
      <c r="E3" s="3"/>
      <c r="F3" s="3"/>
      <c r="G3" s="3"/>
    </row>
    <row r="5" customFormat="false" ht="19.5" hidden="false" customHeight="true" outlineLevel="0" collapsed="false">
      <c r="B5" s="12" t="s">
        <v>118</v>
      </c>
      <c r="C5" s="12"/>
      <c r="D5" s="12"/>
      <c r="E5" s="12"/>
      <c r="F5" s="12"/>
      <c r="G5" s="12"/>
    </row>
    <row r="6" customFormat="false" ht="21.75" hidden="false" customHeight="true" outlineLevel="0" collapsed="false">
      <c r="B6" s="5" t="s">
        <v>119</v>
      </c>
      <c r="D6" s="16" t="n">
        <f aca="false">'Modelo inverso'!D7</f>
        <v>14000000</v>
      </c>
      <c r="G6" s="15" t="s">
        <v>120</v>
      </c>
    </row>
    <row r="7" customFormat="false" ht="21.75" hidden="false" customHeight="true" outlineLevel="0" collapsed="false">
      <c r="B7" s="13" t="s">
        <v>121</v>
      </c>
      <c r="D7" s="18" t="n">
        <v>0.095</v>
      </c>
      <c r="G7" s="15" t="s">
        <v>122</v>
      </c>
    </row>
    <row r="8" customFormat="false" ht="21.75" hidden="false" customHeight="true" outlineLevel="0" collapsed="false">
      <c r="B8" s="5" t="s">
        <v>123</v>
      </c>
      <c r="D8" s="16" t="n">
        <f aca="false">D6*D7</f>
        <v>1330000</v>
      </c>
    </row>
    <row r="9" customFormat="false" ht="21.75" hidden="false" customHeight="true" outlineLevel="0" collapsed="false">
      <c r="B9" s="13" t="s">
        <v>124</v>
      </c>
      <c r="D9" s="18" t="n">
        <v>0.36</v>
      </c>
      <c r="G9" s="15" t="s">
        <v>125</v>
      </c>
    </row>
    <row r="10" customFormat="false" ht="21.75" hidden="false" customHeight="true" outlineLevel="0" collapsed="false">
      <c r="B10" s="5" t="s">
        <v>126</v>
      </c>
      <c r="D10" s="16" t="n">
        <f aca="false">D8*D9</f>
        <v>478800</v>
      </c>
    </row>
    <row r="11" customFormat="false" ht="21.75" hidden="false" customHeight="true" outlineLevel="0" collapsed="false">
      <c r="B11" s="5" t="s">
        <v>127</v>
      </c>
      <c r="D11" s="17" t="n">
        <f aca="false">Motores!F10</f>
        <v>317</v>
      </c>
      <c r="G11" s="15" t="s">
        <v>128</v>
      </c>
    </row>
    <row r="12" customFormat="false" ht="21.75" hidden="false" customHeight="true" outlineLevel="0" collapsed="false">
      <c r="B12" s="5" t="s">
        <v>129</v>
      </c>
      <c r="D12" s="16" t="n">
        <f aca="false">IFERROR(D10/D11,0)</f>
        <v>1510.41009463722</v>
      </c>
      <c r="G12" s="15" t="s">
        <v>130</v>
      </c>
    </row>
    <row r="13" customFormat="false" ht="21.75" hidden="false" customHeight="true" outlineLevel="0" collapsed="false">
      <c r="B13" s="5" t="s">
        <v>131</v>
      </c>
      <c r="D13" s="16" t="n">
        <f aca="false">IFERROR(D10/'Modelo inverso'!D10,0)</f>
        <v>6743.66197183099</v>
      </c>
    </row>
    <row r="14" customFormat="false" ht="21.75" hidden="false" customHeight="true" outlineLevel="0" collapsed="false">
      <c r="B14" s="5" t="s">
        <v>132</v>
      </c>
      <c r="D14" s="22" t="n">
        <f aca="false">IFERROR(D13/'Modelo inverso'!D9,0)</f>
        <v>0.0793371996685998</v>
      </c>
      <c r="G14" s="15" t="s">
        <v>133</v>
      </c>
    </row>
    <row r="16" customFormat="false" ht="19.5" hidden="false" customHeight="true" outlineLevel="0" collapsed="false">
      <c r="B16" s="12" t="s">
        <v>134</v>
      </c>
      <c r="C16" s="12"/>
      <c r="D16" s="12"/>
      <c r="E16" s="12"/>
      <c r="F16" s="12"/>
      <c r="G16" s="12"/>
    </row>
    <row r="17" customFormat="false" ht="27.75" hidden="false" customHeight="true" outlineLevel="0" collapsed="false">
      <c r="A17" s="24"/>
      <c r="B17" s="25" t="s">
        <v>88</v>
      </c>
      <c r="C17" s="25"/>
      <c r="D17" s="25" t="s">
        <v>135</v>
      </c>
      <c r="E17" s="25"/>
      <c r="F17" s="25" t="s">
        <v>136</v>
      </c>
      <c r="G17" s="25" t="s">
        <v>137</v>
      </c>
    </row>
    <row r="18" customFormat="false" ht="19.5" hidden="false" customHeight="true" outlineLevel="0" collapsed="false">
      <c r="B18" s="27" t="s">
        <v>138</v>
      </c>
      <c r="D18" s="14" t="n">
        <f aca="false">ROUND($D$10*0.2,0)</f>
        <v>95760</v>
      </c>
      <c r="F18" s="17" t="n">
        <f aca="false">Motores!F6</f>
        <v>69</v>
      </c>
      <c r="G18" s="37" t="str">
        <f aca="false">IFERROR(TEXT(D18/F18,"$#,##0"),"—")&amp;IF(IFERROR(D18/F18,0)&gt;$D$12,"   ✗ arriba del techo","   ✓ dentro del techo")</f>
        <v>$1,388   ✓ dentro del techo</v>
      </c>
    </row>
    <row r="19" customFormat="false" ht="19.5" hidden="false" customHeight="true" outlineLevel="0" collapsed="false">
      <c r="B19" s="27" t="s">
        <v>139</v>
      </c>
      <c r="D19" s="14" t="n">
        <f aca="false">ROUND($D$10*0.3,0)</f>
        <v>143640</v>
      </c>
      <c r="F19" s="17" t="n">
        <f aca="false">Motores!F7</f>
        <v>72</v>
      </c>
      <c r="G19" s="37" t="str">
        <f aca="false">IFERROR(TEXT(D19/F19,"$#,##0"),"—")&amp;IF(IFERROR(D19/F19,0)&gt;$D$12,"   ✗ arriba del techo","   ✓ dentro del techo")</f>
        <v>$1,995   ✗ arriba del techo</v>
      </c>
    </row>
    <row r="20" customFormat="false" ht="19.5" hidden="false" customHeight="true" outlineLevel="0" collapsed="false">
      <c r="B20" s="27" t="s">
        <v>140</v>
      </c>
      <c r="D20" s="14" t="n">
        <f aca="false">ROUND($D$10*0.35,0)</f>
        <v>167580</v>
      </c>
      <c r="F20" s="17" t="n">
        <f aca="false">Motores!F8</f>
        <v>89</v>
      </c>
      <c r="G20" s="37" t="str">
        <f aca="false">IFERROR(TEXT(D20/F20,"$#,##0"),"—")&amp;IF(IFERROR(D20/F20,0)&gt;$D$12,"   ✗ arriba del techo","   ✓ dentro del techo")</f>
        <v>$1,883   ✗ arriba del techo</v>
      </c>
    </row>
    <row r="21" customFormat="false" ht="19.5" hidden="false" customHeight="true" outlineLevel="0" collapsed="false">
      <c r="B21" s="27" t="s">
        <v>141</v>
      </c>
      <c r="D21" s="14" t="n">
        <f aca="false">ROUND($D$10*0.15,0)</f>
        <v>71820</v>
      </c>
      <c r="F21" s="17" t="n">
        <f aca="false">Motores!F9</f>
        <v>87</v>
      </c>
      <c r="G21" s="37" t="str">
        <f aca="false">IFERROR(TEXT(D21/F21,"$#,##0"),"—")&amp;IF(IFERROR(D21/F21,0)&gt;$D$12,"   ✗ arriba del techo","   ✓ dentro del techo")</f>
        <v>$826   ✓ dentro del techo</v>
      </c>
    </row>
    <row r="22" customFormat="false" ht="21.75" hidden="false" customHeight="true" outlineLevel="0" collapsed="false">
      <c r="B22" s="29" t="s">
        <v>102</v>
      </c>
      <c r="D22" s="32" t="n">
        <f aca="false">SUM(D18:D21)</f>
        <v>478800</v>
      </c>
      <c r="F22" s="30" t="n">
        <f aca="false">SUM(F18:F21)</f>
        <v>317</v>
      </c>
      <c r="G22" s="38" t="str">
        <f aca="false">IF(ABS(SUM(D18:D21)-$D$10)&lt;1,"OK · el reparto usa todo el presupuesto","El reparto suma "&amp;TEXT(SUM(D18:D21),"$#,##0")&amp;" y el presupuesto es "&amp;TEXT($D$10,"$#,##0"))</f>
        <v>OK · el reparto usa todo el presupuesto</v>
      </c>
    </row>
    <row r="24" customFormat="false" ht="19.5" hidden="false" customHeight="true" outlineLevel="0" collapsed="false">
      <c r="B24" s="12" t="s">
        <v>142</v>
      </c>
      <c r="C24" s="12"/>
      <c r="D24" s="12"/>
      <c r="E24" s="12"/>
      <c r="F24" s="12"/>
      <c r="G24" s="12"/>
    </row>
    <row r="25" customFormat="false" ht="31.5" hidden="false" customHeight="true" outlineLevel="0" collapsed="false">
      <c r="B25" s="5" t="s">
        <v>143</v>
      </c>
      <c r="D25" s="3" t="s">
        <v>144</v>
      </c>
      <c r="E25" s="3"/>
      <c r="F25" s="3"/>
      <c r="G25" s="3"/>
    </row>
    <row r="26" customFormat="false" ht="31.5" hidden="false" customHeight="true" outlineLevel="0" collapsed="false">
      <c r="B26" s="5" t="s">
        <v>145</v>
      </c>
      <c r="D26" s="3" t="s">
        <v>146</v>
      </c>
      <c r="E26" s="3"/>
      <c r="F26" s="3"/>
      <c r="G26" s="3"/>
    </row>
    <row r="27" customFormat="false" ht="31.5" hidden="false" customHeight="true" outlineLevel="0" collapsed="false">
      <c r="B27" s="5" t="s">
        <v>147</v>
      </c>
      <c r="D27" s="3" t="s">
        <v>148</v>
      </c>
      <c r="E27" s="3"/>
      <c r="F27" s="3"/>
      <c r="G27" s="3"/>
    </row>
  </sheetData>
  <mergeCells count="9">
    <mergeCell ref="A1:G1"/>
    <mergeCell ref="A2:G2"/>
    <mergeCell ref="A3:G3"/>
    <mergeCell ref="B5:G5"/>
    <mergeCell ref="B16:G16"/>
    <mergeCell ref="B24:G24"/>
    <mergeCell ref="D25:G25"/>
    <mergeCell ref="D26:G26"/>
    <mergeCell ref="D27:G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6"/>
    <col collapsed="false" customWidth="true" hidden="false" outlineLevel="0" max="4" min="3" style="0" width="18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20"/>
    <col collapsed="false" customWidth="true" hidden="false" outlineLevel="0" max="8" min="8" style="0" width="46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4" hidden="false" customHeight="true" outlineLevel="0" collapsed="false">
      <c r="A2" s="2" t="s">
        <v>149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3" t="s">
        <v>150</v>
      </c>
      <c r="B3" s="3"/>
      <c r="C3" s="3"/>
      <c r="D3" s="3"/>
      <c r="E3" s="3"/>
      <c r="F3" s="3"/>
      <c r="G3" s="3"/>
      <c r="H3" s="3"/>
    </row>
    <row r="5" customFormat="false" ht="27.75" hidden="false" customHeight="true" outlineLevel="0" collapsed="false">
      <c r="A5" s="24"/>
      <c r="B5" s="25" t="s">
        <v>151</v>
      </c>
      <c r="C5" s="25" t="s">
        <v>152</v>
      </c>
      <c r="D5" s="25" t="s">
        <v>153</v>
      </c>
      <c r="E5" s="25" t="s">
        <v>154</v>
      </c>
      <c r="F5" s="25" t="s">
        <v>155</v>
      </c>
      <c r="G5" s="25" t="s">
        <v>156</v>
      </c>
      <c r="H5" s="25" t="s">
        <v>157</v>
      </c>
    </row>
    <row r="6" customFormat="false" ht="19.5" hidden="false" customHeight="true" outlineLevel="0" collapsed="false">
      <c r="B6" s="39" t="s">
        <v>158</v>
      </c>
      <c r="C6" s="21" t="n">
        <f aca="false">'Modelo inverso'!$D$17</f>
        <v>26.9</v>
      </c>
      <c r="D6" s="20" t="n">
        <v>27</v>
      </c>
      <c r="E6" s="40" t="n">
        <f aca="false">IFERROR(D6/C6,0)</f>
        <v>1.00371747211896</v>
      </c>
      <c r="F6" s="21" t="n">
        <f aca="false">ROUND(D6*'Modelo inverso'!$D$12,1)</f>
        <v>5.9</v>
      </c>
      <c r="G6" s="16" t="n">
        <f aca="false">F6*'Modelo inverso'!$D$9</f>
        <v>501500</v>
      </c>
      <c r="H6" s="41" t="str">
        <f aca="false">IF(D6=0,"—",IF(E6&gt;=1,"En meta",IF(E6&gt;=0.8,"Corto · recuperable dentro del ciclo","Muy corto · la brecha ya afecta el trimestre siguiente")))</f>
        <v>En meta</v>
      </c>
    </row>
    <row r="7" customFormat="false" ht="19.5" hidden="false" customHeight="true" outlineLevel="0" collapsed="false">
      <c r="B7" s="39" t="s">
        <v>159</v>
      </c>
      <c r="C7" s="21" t="n">
        <f aca="false">'Modelo inverso'!$D$17</f>
        <v>26.9</v>
      </c>
      <c r="D7" s="20" t="n">
        <v>24</v>
      </c>
      <c r="E7" s="40" t="n">
        <f aca="false">IFERROR(D7/C7,0)</f>
        <v>0.892193308550186</v>
      </c>
      <c r="F7" s="21" t="n">
        <f aca="false">ROUND(D7*'Modelo inverso'!$D$12,1)</f>
        <v>5.3</v>
      </c>
      <c r="G7" s="16" t="n">
        <f aca="false">F7*'Modelo inverso'!$D$9</f>
        <v>450500</v>
      </c>
      <c r="H7" s="41" t="str">
        <f aca="false">IF(D7=0,"—",IF(E7&gt;=1,"En meta",IF(E7&gt;=0.8,"Corto · recuperable dentro del ciclo","Muy corto · la brecha ya afecta el trimestre siguiente")))</f>
        <v>Corto · recuperable dentro del ciclo</v>
      </c>
    </row>
    <row r="8" customFormat="false" ht="19.5" hidden="false" customHeight="true" outlineLevel="0" collapsed="false">
      <c r="B8" s="39" t="s">
        <v>160</v>
      </c>
      <c r="C8" s="21" t="n">
        <f aca="false">'Modelo inverso'!$D$17</f>
        <v>26.9</v>
      </c>
      <c r="D8" s="20" t="n">
        <v>31</v>
      </c>
      <c r="E8" s="40" t="n">
        <f aca="false">IFERROR(D8/C8,0)</f>
        <v>1.15241635687732</v>
      </c>
      <c r="F8" s="21" t="n">
        <f aca="false">ROUND(D8*'Modelo inverso'!$D$12,1)</f>
        <v>6.8</v>
      </c>
      <c r="G8" s="16" t="n">
        <f aca="false">F8*'Modelo inverso'!$D$9</f>
        <v>578000</v>
      </c>
      <c r="H8" s="41" t="str">
        <f aca="false">IF(D8=0,"—",IF(E8&gt;=1,"En meta",IF(E8&gt;=0.8,"Corto · recuperable dentro del ciclo","Muy corto · la brecha ya afecta el trimestre siguiente")))</f>
        <v>En meta</v>
      </c>
    </row>
    <row r="9" customFormat="false" ht="19.5" hidden="false" customHeight="true" outlineLevel="0" collapsed="false">
      <c r="B9" s="39" t="s">
        <v>161</v>
      </c>
      <c r="C9" s="21" t="n">
        <f aca="false">'Modelo inverso'!$D$17</f>
        <v>26.9</v>
      </c>
      <c r="D9" s="20" t="n">
        <v>0</v>
      </c>
      <c r="E9" s="40" t="n">
        <f aca="false">IFERROR(D9/C9,0)</f>
        <v>0</v>
      </c>
      <c r="F9" s="21" t="n">
        <f aca="false">ROUND(D9*'Modelo inverso'!$D$12,1)</f>
        <v>0</v>
      </c>
      <c r="G9" s="16" t="n">
        <f aca="false">F9*'Modelo inverso'!$D$9</f>
        <v>0</v>
      </c>
      <c r="H9" s="41" t="str">
        <f aca="false">IF(D9=0,"—",IF(E9&gt;=1,"En meta",IF(E9&gt;=0.8,"Corto · recuperable dentro del ciclo","Muy corto · la brecha ya afecta el trimestre siguiente")))</f>
        <v>—</v>
      </c>
    </row>
    <row r="10" customFormat="false" ht="19.5" hidden="false" customHeight="true" outlineLevel="0" collapsed="false">
      <c r="B10" s="39" t="s">
        <v>162</v>
      </c>
      <c r="C10" s="21" t="n">
        <f aca="false">'Modelo inverso'!$D$17</f>
        <v>26.9</v>
      </c>
      <c r="D10" s="20" t="n">
        <v>0</v>
      </c>
      <c r="E10" s="40" t="n">
        <f aca="false">IFERROR(D10/C10,0)</f>
        <v>0</v>
      </c>
      <c r="F10" s="21" t="n">
        <f aca="false">ROUND(D10*'Modelo inverso'!$D$12,1)</f>
        <v>0</v>
      </c>
      <c r="G10" s="16" t="n">
        <f aca="false">F10*'Modelo inverso'!$D$9</f>
        <v>0</v>
      </c>
      <c r="H10" s="41" t="str">
        <f aca="false">IF(D10=0,"—",IF(E10&gt;=1,"En meta",IF(E10&gt;=0.8,"Corto · recuperable dentro del ciclo","Muy corto · la brecha ya afecta el trimestre siguiente")))</f>
        <v>—</v>
      </c>
    </row>
    <row r="11" customFormat="false" ht="19.5" hidden="false" customHeight="true" outlineLevel="0" collapsed="false">
      <c r="B11" s="39" t="s">
        <v>163</v>
      </c>
      <c r="C11" s="21" t="n">
        <f aca="false">'Modelo inverso'!$D$17</f>
        <v>26.9</v>
      </c>
      <c r="D11" s="20" t="n">
        <v>0</v>
      </c>
      <c r="E11" s="40" t="n">
        <f aca="false">IFERROR(D11/C11,0)</f>
        <v>0</v>
      </c>
      <c r="F11" s="21" t="n">
        <f aca="false">ROUND(D11*'Modelo inverso'!$D$12,1)</f>
        <v>0</v>
      </c>
      <c r="G11" s="16" t="n">
        <f aca="false">F11*'Modelo inverso'!$D$9</f>
        <v>0</v>
      </c>
      <c r="H11" s="41" t="str">
        <f aca="false">IF(D11=0,"—",IF(E11&gt;=1,"En meta",IF(E11&gt;=0.8,"Corto · recuperable dentro del ciclo","Muy corto · la brecha ya afecta el trimestre siguiente")))</f>
        <v>—</v>
      </c>
    </row>
    <row r="12" customFormat="false" ht="21.75" hidden="false" customHeight="true" outlineLevel="0" collapsed="false">
      <c r="B12" s="29" t="s">
        <v>164</v>
      </c>
      <c r="C12" s="42" t="n">
        <f aca="false">SUM(C6:C11)</f>
        <v>161.4</v>
      </c>
      <c r="D12" s="30" t="n">
        <f aca="false">SUM(D6:D11)</f>
        <v>82</v>
      </c>
      <c r="E12" s="43" t="n">
        <f aca="false">IFERROR(D12/C12,0)</f>
        <v>0.508054522924411</v>
      </c>
      <c r="F12" s="42" t="n">
        <f aca="false">SUM(F6:F11)</f>
        <v>18</v>
      </c>
      <c r="G12" s="32" t="n">
        <f aca="false">SUM(G6:G11)</f>
        <v>1530000</v>
      </c>
      <c r="H12" s="38" t="str">
        <f aca="false">IF(SUM(D6:D11)=0,"Captura tus oportunidades reales",TEXT(IFERROR(SUM(G6:G11)/'Modelo inverso'!$D$8,0),"0%")&amp;" del ingreso nuevo del año, proyectado")</f>
        <v>26% del ingreso nuevo del año, proyectado</v>
      </c>
    </row>
    <row r="14" customFormat="false" ht="19.5" hidden="false" customHeight="true" outlineLevel="0" collapsed="false">
      <c r="B14" s="12" t="s">
        <v>165</v>
      </c>
      <c r="C14" s="12"/>
      <c r="D14" s="12"/>
      <c r="E14" s="12"/>
      <c r="F14" s="12"/>
      <c r="G14" s="12"/>
      <c r="H14" s="12"/>
    </row>
    <row r="15" customFormat="false" ht="33.75" hidden="false" customHeight="true" outlineLevel="0" collapsed="false">
      <c r="B15" s="5" t="s">
        <v>166</v>
      </c>
      <c r="C15" s="3" t="s">
        <v>167</v>
      </c>
      <c r="D15" s="3"/>
      <c r="E15" s="3"/>
      <c r="F15" s="3"/>
      <c r="G15" s="3"/>
      <c r="H15" s="3"/>
    </row>
    <row r="16" customFormat="false" ht="33.75" hidden="false" customHeight="true" outlineLevel="0" collapsed="false">
      <c r="B16" s="5" t="s">
        <v>168</v>
      </c>
      <c r="C16" s="3" t="s">
        <v>169</v>
      </c>
      <c r="D16" s="3"/>
      <c r="E16" s="3"/>
      <c r="F16" s="3"/>
      <c r="G16" s="3"/>
      <c r="H16" s="3"/>
    </row>
    <row r="17" customFormat="false" ht="33.75" hidden="false" customHeight="true" outlineLevel="0" collapsed="false">
      <c r="B17" s="5" t="s">
        <v>170</v>
      </c>
      <c r="C17" s="3" t="s">
        <v>171</v>
      </c>
      <c r="D17" s="3"/>
      <c r="E17" s="3"/>
      <c r="F17" s="3"/>
      <c r="G17" s="3"/>
      <c r="H17" s="3"/>
    </row>
  </sheetData>
  <mergeCells count="7">
    <mergeCell ref="A1:H1"/>
    <mergeCell ref="A2:H2"/>
    <mergeCell ref="A3:H3"/>
    <mergeCell ref="B14:H14"/>
    <mergeCell ref="C15:H15"/>
    <mergeCell ref="C16:H16"/>
    <mergeCell ref="C17:H17"/>
  </mergeCells>
  <conditionalFormatting sqref="E6:E11">
    <cfRule type="cellIs" priority="2" operator="greaterThanOrEqual" aboveAverage="0" equalAverage="0" bottom="0" percent="0" rank="0" text="" dxfId="0">
      <formula>1</formula>
    </cfRule>
    <cfRule type="cellIs" priority="3" operator="between" aboveAverage="0" equalAverage="0" bottom="0" percent="0" rank="0" text="" dxfId="2">
      <formula>0.0001</formula>
      <formula>0.7999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3" min="3" style="0" width="4"/>
    <col collapsed="false" customWidth="true" hidden="false" outlineLevel="0" max="4" min="4" style="0" width="18"/>
    <col collapsed="false" customWidth="true" hidden="false" outlineLevel="0" max="5" min="5" style="0" width="4"/>
    <col collapsed="false" customWidth="true" hidden="false" outlineLevel="0" max="6" min="6" style="0" width="18"/>
    <col collapsed="false" customWidth="true" hidden="false" outlineLevel="0" max="7" min="7" style="0" width="5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4" hidden="false" customHeight="true" outlineLevel="0" collapsed="false">
      <c r="A2" s="2" t="s">
        <v>172</v>
      </c>
      <c r="B2" s="2"/>
      <c r="C2" s="2"/>
      <c r="D2" s="2"/>
      <c r="E2" s="2"/>
      <c r="F2" s="2"/>
      <c r="G2" s="2"/>
    </row>
    <row r="3" customFormat="false" ht="30" hidden="false" customHeight="true" outlineLevel="0" collapsed="false">
      <c r="A3" s="3" t="s">
        <v>173</v>
      </c>
      <c r="B3" s="3"/>
      <c r="C3" s="3"/>
      <c r="D3" s="3"/>
      <c r="E3" s="3"/>
      <c r="F3" s="3"/>
      <c r="G3" s="3"/>
    </row>
    <row r="5" customFormat="false" ht="19.5" hidden="false" customHeight="true" outlineLevel="0" collapsed="false">
      <c r="B5" s="12" t="s">
        <v>174</v>
      </c>
      <c r="C5" s="12"/>
      <c r="D5" s="12"/>
      <c r="E5" s="12"/>
      <c r="F5" s="12"/>
      <c r="G5" s="12"/>
    </row>
    <row r="6" customFormat="false" ht="21.75" hidden="false" customHeight="true" outlineLevel="0" collapsed="false">
      <c r="B6" s="13" t="s">
        <v>175</v>
      </c>
      <c r="D6" s="20" t="n">
        <v>62</v>
      </c>
    </row>
    <row r="7" customFormat="false" ht="21.75" hidden="false" customHeight="true" outlineLevel="0" collapsed="false">
      <c r="B7" s="5" t="s">
        <v>176</v>
      </c>
      <c r="D7" s="22" t="n">
        <f aca="false">'Modelo inverso'!D12</f>
        <v>0.22</v>
      </c>
    </row>
    <row r="8" customFormat="false" ht="21.75" hidden="false" customHeight="true" outlineLevel="0" collapsed="false">
      <c r="B8" s="5" t="s">
        <v>177</v>
      </c>
      <c r="D8" s="16" t="n">
        <f aca="false">'Modelo inverso'!D9</f>
        <v>85000</v>
      </c>
    </row>
    <row r="9" customFormat="false" ht="21.75" hidden="false" customHeight="true" outlineLevel="0" collapsed="false">
      <c r="B9" s="5" t="s">
        <v>178</v>
      </c>
      <c r="D9" s="17" t="n">
        <f aca="false">'Modelo inverso'!D18</f>
        <v>75</v>
      </c>
    </row>
    <row r="10" customFormat="false" ht="21.75" hidden="false" customHeight="true" outlineLevel="0" collapsed="false">
      <c r="B10" s="5" t="s">
        <v>179</v>
      </c>
      <c r="D10" s="16" t="n">
        <f aca="false">IFERROR(D6*D7*D8/D9,0)</f>
        <v>15458.6666666667</v>
      </c>
      <c r="G10" s="15" t="s">
        <v>180</v>
      </c>
    </row>
    <row r="11" customFormat="false" ht="21.75" hidden="false" customHeight="true" outlineLevel="0" collapsed="false">
      <c r="B11" s="5" t="s">
        <v>181</v>
      </c>
      <c r="D11" s="16" t="n">
        <f aca="false">D10*30</f>
        <v>463760</v>
      </c>
    </row>
    <row r="12" customFormat="false" ht="21.75" hidden="false" customHeight="true" outlineLevel="0" collapsed="false">
      <c r="B12" s="13" t="s">
        <v>182</v>
      </c>
      <c r="D12" s="14" t="n">
        <v>385000</v>
      </c>
      <c r="G12" s="15" t="s">
        <v>183</v>
      </c>
    </row>
    <row r="13" customFormat="false" ht="21.75" hidden="false" customHeight="true" outlineLevel="0" collapsed="false">
      <c r="B13" s="5" t="s">
        <v>184</v>
      </c>
      <c r="D13" s="44" t="n">
        <f aca="false">IFERROR(D11/D12-1,0)</f>
        <v>0.204571428571429</v>
      </c>
      <c r="G13" s="15" t="s">
        <v>185</v>
      </c>
    </row>
    <row r="14" customFormat="false" ht="19.5" hidden="false" customHeight="true" outlineLevel="0" collapsed="false">
      <c r="B14" s="12" t="s">
        <v>186</v>
      </c>
      <c r="C14" s="12"/>
      <c r="D14" s="12"/>
      <c r="E14" s="12"/>
      <c r="F14" s="12"/>
      <c r="G14" s="12"/>
    </row>
    <row r="15" customFormat="false" ht="21.75" hidden="false" customHeight="true" outlineLevel="0" collapsed="false">
      <c r="B15" s="5" t="s">
        <v>187</v>
      </c>
      <c r="D15" s="16" t="n">
        <f aca="false">'Modelo inverso'!D33</f>
        <v>9000000</v>
      </c>
    </row>
    <row r="16" customFormat="false" ht="21.75" hidden="false" customHeight="true" outlineLevel="0" collapsed="false">
      <c r="B16" s="5" t="s">
        <v>188</v>
      </c>
      <c r="D16" s="19" t="n">
        <f aca="false">'Modelo inverso'!D34</f>
        <v>1.5</v>
      </c>
    </row>
    <row r="17" customFormat="false" ht="21.75" hidden="false" customHeight="true" outlineLevel="0" collapsed="false">
      <c r="B17" s="5" t="s">
        <v>189</v>
      </c>
      <c r="D17" s="19" t="n">
        <f aca="false">'Modelo inverso'!D14</f>
        <v>4.54545454545455</v>
      </c>
    </row>
    <row r="18" customFormat="false" ht="21.75" hidden="false" customHeight="true" outlineLevel="0" collapsed="false">
      <c r="B18" s="5" t="s">
        <v>190</v>
      </c>
      <c r="D18" s="23" t="str">
        <f aca="false">'Modelo inverso'!D36</f>
        <v>CRÍTICO · la meta no cabe en este pipeline: genera más o bájala</v>
      </c>
      <c r="E18" s="23"/>
      <c r="F18" s="23"/>
      <c r="G18" s="23"/>
    </row>
    <row r="19" customFormat="false" ht="21.75" hidden="false" customHeight="true" outlineLevel="0" collapsed="false">
      <c r="B19" s="5" t="s">
        <v>106</v>
      </c>
      <c r="D19" s="22" t="n">
        <f aca="false">MAX(Motores!H6:H9)</f>
        <v>0.280757097791798</v>
      </c>
      <c r="G19" s="15" t="s">
        <v>191</v>
      </c>
    </row>
    <row r="20" customFormat="false" ht="21.75" hidden="false" customHeight="true" outlineLevel="0" collapsed="false">
      <c r="B20" s="5" t="s">
        <v>192</v>
      </c>
      <c r="D20" s="45" t="str">
        <f aca="false">COUNTIF(Motores!D6:D9,"&gt;0")&amp;" de 4"</f>
        <v>4 de 4</v>
      </c>
    </row>
    <row r="22" customFormat="false" ht="19.5" hidden="false" customHeight="true" outlineLevel="0" collapsed="false">
      <c r="B22" s="12" t="s">
        <v>193</v>
      </c>
      <c r="C22" s="12"/>
      <c r="D22" s="12"/>
      <c r="E22" s="12"/>
      <c r="F22" s="12"/>
      <c r="G22" s="12"/>
    </row>
    <row r="23" customFormat="false" ht="19.5" hidden="false" customHeight="true" outlineLevel="0" collapsed="false">
      <c r="B23" s="46" t="s">
        <v>194</v>
      </c>
      <c r="D23" s="47" t="s">
        <v>195</v>
      </c>
      <c r="E23" s="47"/>
      <c r="F23" s="47"/>
      <c r="G23" s="47"/>
    </row>
    <row r="24" customFormat="false" ht="15.75" hidden="false" customHeight="true" outlineLevel="0" collapsed="false">
      <c r="B24" s="48"/>
      <c r="D24" s="3" t="s">
        <v>196</v>
      </c>
      <c r="E24" s="3"/>
      <c r="F24" s="3"/>
      <c r="G24" s="3"/>
    </row>
    <row r="25" customFormat="false" ht="15.75" hidden="false" customHeight="true" outlineLevel="0" collapsed="false">
      <c r="B25" s="48"/>
      <c r="D25" s="3" t="s">
        <v>197</v>
      </c>
      <c r="E25" s="3"/>
      <c r="F25" s="3"/>
      <c r="G25" s="3"/>
    </row>
    <row r="26" customFormat="false" ht="15.75" hidden="false" customHeight="true" outlineLevel="0" collapsed="false">
      <c r="B26" s="48"/>
      <c r="D26" s="3" t="s">
        <v>198</v>
      </c>
      <c r="E26" s="3"/>
      <c r="F26" s="3"/>
      <c r="G26" s="3"/>
    </row>
    <row r="27" customFormat="false" ht="15.75" hidden="false" customHeight="true" outlineLevel="0" collapsed="false">
      <c r="B27" s="48"/>
      <c r="D27" s="3" t="s">
        <v>199</v>
      </c>
      <c r="E27" s="3"/>
      <c r="F27" s="3"/>
      <c r="G27" s="3"/>
    </row>
    <row r="29" customFormat="false" ht="19.5" hidden="false" customHeight="true" outlineLevel="0" collapsed="false">
      <c r="B29" s="46" t="s">
        <v>200</v>
      </c>
      <c r="D29" s="47" t="s">
        <v>201</v>
      </c>
      <c r="E29" s="47"/>
      <c r="F29" s="47"/>
      <c r="G29" s="47"/>
    </row>
    <row r="30" customFormat="false" ht="15.75" hidden="false" customHeight="true" outlineLevel="0" collapsed="false">
      <c r="B30" s="48"/>
      <c r="D30" s="3" t="s">
        <v>202</v>
      </c>
      <c r="E30" s="3"/>
      <c r="F30" s="3"/>
      <c r="G30" s="3"/>
    </row>
    <row r="31" customFormat="false" ht="15.75" hidden="false" customHeight="true" outlineLevel="0" collapsed="false">
      <c r="B31" s="48"/>
      <c r="D31" s="3" t="s">
        <v>203</v>
      </c>
      <c r="E31" s="3"/>
      <c r="F31" s="3"/>
      <c r="G31" s="3"/>
    </row>
    <row r="32" customFormat="false" ht="15.75" hidden="false" customHeight="true" outlineLevel="0" collapsed="false">
      <c r="B32" s="48"/>
      <c r="D32" s="3" t="s">
        <v>204</v>
      </c>
      <c r="E32" s="3"/>
      <c r="F32" s="3"/>
      <c r="G32" s="3"/>
    </row>
    <row r="33" customFormat="false" ht="15.75" hidden="false" customHeight="true" outlineLevel="0" collapsed="false">
      <c r="B33" s="48"/>
      <c r="D33" s="3" t="s">
        <v>205</v>
      </c>
      <c r="E33" s="3"/>
      <c r="F33" s="3"/>
      <c r="G33" s="3"/>
    </row>
    <row r="35" customFormat="false" ht="19.5" hidden="false" customHeight="true" outlineLevel="0" collapsed="false">
      <c r="B35" s="46" t="s">
        <v>206</v>
      </c>
      <c r="D35" s="47" t="s">
        <v>207</v>
      </c>
      <c r="E35" s="47"/>
      <c r="F35" s="47"/>
      <c r="G35" s="47"/>
    </row>
    <row r="36" customFormat="false" ht="15.75" hidden="false" customHeight="true" outlineLevel="0" collapsed="false">
      <c r="B36" s="48"/>
      <c r="D36" s="3" t="s">
        <v>208</v>
      </c>
      <c r="E36" s="3"/>
      <c r="F36" s="3"/>
      <c r="G36" s="3"/>
    </row>
    <row r="37" customFormat="false" ht="15.75" hidden="false" customHeight="true" outlineLevel="0" collapsed="false">
      <c r="B37" s="48"/>
      <c r="D37" s="3" t="s">
        <v>209</v>
      </c>
      <c r="E37" s="3"/>
      <c r="F37" s="3"/>
      <c r="G37" s="3"/>
    </row>
    <row r="38" customFormat="false" ht="15.75" hidden="false" customHeight="true" outlineLevel="0" collapsed="false">
      <c r="B38" s="48"/>
      <c r="D38" s="3" t="s">
        <v>210</v>
      </c>
      <c r="E38" s="3"/>
      <c r="F38" s="3"/>
      <c r="G38" s="3"/>
    </row>
    <row r="39" customFormat="false" ht="15.75" hidden="false" customHeight="true" outlineLevel="0" collapsed="false">
      <c r="B39" s="48"/>
      <c r="D39" s="3" t="s">
        <v>211</v>
      </c>
      <c r="E39" s="3"/>
      <c r="F39" s="3"/>
      <c r="G39" s="3"/>
    </row>
  </sheetData>
  <mergeCells count="22">
    <mergeCell ref="A1:G1"/>
    <mergeCell ref="A2:G2"/>
    <mergeCell ref="A3:G3"/>
    <mergeCell ref="B5:G5"/>
    <mergeCell ref="B14:G14"/>
    <mergeCell ref="D18:G18"/>
    <mergeCell ref="B22:G22"/>
    <mergeCell ref="D23:G23"/>
    <mergeCell ref="D24:G24"/>
    <mergeCell ref="D25:G25"/>
    <mergeCell ref="D26:G26"/>
    <mergeCell ref="D27:G27"/>
    <mergeCell ref="D29:G29"/>
    <mergeCell ref="D30:G30"/>
    <mergeCell ref="D31:G31"/>
    <mergeCell ref="D32:G32"/>
    <mergeCell ref="D33:G33"/>
    <mergeCell ref="D35:G35"/>
    <mergeCell ref="D36:G36"/>
    <mergeCell ref="D37:G37"/>
    <mergeCell ref="D38:G38"/>
    <mergeCell ref="D39:G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4" min="3" style="0" width="18"/>
    <col collapsed="false" customWidth="true" hidden="false" outlineLevel="0" max="5" min="5" style="0" width="20"/>
    <col collapsed="false" customWidth="true" hidden="false" outlineLevel="0" max="6" min="6" style="0" width="60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" hidden="false" customHeight="true" outlineLevel="0" collapsed="false">
      <c r="A2" s="2" t="s">
        <v>212</v>
      </c>
      <c r="B2" s="2"/>
      <c r="C2" s="2"/>
      <c r="D2" s="2"/>
      <c r="E2" s="2"/>
      <c r="F2" s="2"/>
    </row>
    <row r="3" customFormat="false" ht="30" hidden="false" customHeight="true" outlineLevel="0" collapsed="false">
      <c r="A3" s="3" t="s">
        <v>213</v>
      </c>
      <c r="B3" s="3"/>
      <c r="C3" s="3"/>
      <c r="D3" s="3"/>
      <c r="E3" s="3"/>
      <c r="F3" s="3"/>
    </row>
    <row r="5" customFormat="false" ht="27.75" hidden="false" customHeight="true" outlineLevel="0" collapsed="false">
      <c r="A5" s="24"/>
      <c r="B5" s="25" t="s">
        <v>214</v>
      </c>
      <c r="C5" s="25" t="s">
        <v>215</v>
      </c>
      <c r="D5" s="25" t="s">
        <v>216</v>
      </c>
      <c r="E5" s="25" t="s">
        <v>217</v>
      </c>
      <c r="F5" s="25" t="s">
        <v>218</v>
      </c>
    </row>
    <row r="6" customFormat="false" ht="19.5" hidden="false" customHeight="true" outlineLevel="0" collapsed="false">
      <c r="B6" s="27" t="s">
        <v>219</v>
      </c>
      <c r="C6" s="49" t="n">
        <v>0.16</v>
      </c>
      <c r="D6" s="49" t="n">
        <v>0.17</v>
      </c>
      <c r="E6" s="50" t="n">
        <f aca="false">1/D6</f>
        <v>5.88235294117647</v>
      </c>
    </row>
    <row r="7" customFormat="false" ht="19.5" hidden="false" customHeight="true" outlineLevel="0" collapsed="false">
      <c r="B7" s="27" t="s">
        <v>220</v>
      </c>
      <c r="C7" s="49" t="n">
        <v>0.12</v>
      </c>
      <c r="D7" s="49" t="n">
        <v>0.14</v>
      </c>
      <c r="E7" s="50" t="n">
        <f aca="false">1/D7</f>
        <v>7.14285714285714</v>
      </c>
    </row>
    <row r="8" customFormat="false" ht="19.5" hidden="false" customHeight="true" outlineLevel="0" collapsed="false">
      <c r="B8" s="27" t="s">
        <v>221</v>
      </c>
      <c r="C8" s="49" t="n">
        <v>0.11</v>
      </c>
      <c r="D8" s="49" t="n">
        <v>0.13</v>
      </c>
      <c r="E8" s="50" t="n">
        <f aca="false">1/D8</f>
        <v>7.69230769230769</v>
      </c>
    </row>
    <row r="9" customFormat="false" ht="19.5" hidden="false" customHeight="true" outlineLevel="0" collapsed="false">
      <c r="B9" s="27" t="s">
        <v>222</v>
      </c>
      <c r="C9" s="49" t="n">
        <v>0.14</v>
      </c>
      <c r="D9" s="49" t="n">
        <v>0.16</v>
      </c>
      <c r="E9" s="50" t="n">
        <f aca="false">1/D9</f>
        <v>6.25</v>
      </c>
    </row>
    <row r="10" customFormat="false" ht="19.5" hidden="false" customHeight="true" outlineLevel="0" collapsed="false">
      <c r="B10" s="27" t="s">
        <v>223</v>
      </c>
      <c r="C10" s="49" t="n">
        <v>0.13</v>
      </c>
      <c r="D10" s="49" t="n">
        <v>0.22</v>
      </c>
      <c r="E10" s="50" t="n">
        <f aca="false">1/D10</f>
        <v>4.54545454545455</v>
      </c>
    </row>
    <row r="11" customFormat="false" ht="19.5" hidden="false" customHeight="true" outlineLevel="0" collapsed="false">
      <c r="B11" s="27" t="s">
        <v>224</v>
      </c>
      <c r="C11" s="49" t="n">
        <v>0.15</v>
      </c>
      <c r="D11" s="49" t="n">
        <v>0.18</v>
      </c>
      <c r="E11" s="50" t="n">
        <f aca="false">1/D11</f>
        <v>5.55555555555556</v>
      </c>
    </row>
    <row r="13" customFormat="false" ht="19.5" hidden="false" customHeight="true" outlineLevel="0" collapsed="false">
      <c r="B13" s="5" t="s">
        <v>225</v>
      </c>
      <c r="C13" s="51" t="s">
        <v>226</v>
      </c>
      <c r="D13" s="51"/>
      <c r="E13" s="51"/>
      <c r="F13" s="51"/>
    </row>
    <row r="15" customFormat="false" ht="25.5" hidden="false" customHeight="true" outlineLevel="0" collapsed="false">
      <c r="B15" s="5" t="s">
        <v>227</v>
      </c>
      <c r="C15" s="3" t="s">
        <v>228</v>
      </c>
      <c r="D15" s="3"/>
      <c r="E15" s="3"/>
      <c r="F15" s="3"/>
    </row>
    <row r="16" customFormat="false" ht="43.5" hidden="false" customHeight="true" outlineLevel="0" collapsed="false">
      <c r="B16" s="5" t="s">
        <v>229</v>
      </c>
      <c r="C16" s="3" t="s">
        <v>230</v>
      </c>
      <c r="D16" s="3"/>
      <c r="E16" s="3"/>
      <c r="F16" s="3"/>
    </row>
  </sheetData>
  <mergeCells count="6">
    <mergeCell ref="A1:F1"/>
    <mergeCell ref="A2:F2"/>
    <mergeCell ref="A3:F3"/>
    <mergeCell ref="C13:F13"/>
    <mergeCell ref="C15:F15"/>
    <mergeCell ref="C16:F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2026-08-21T22:16:43Z</dcterms:created>
  <dc:creator>openpyxl</dc:creator>
  <dc:description/>
  <dc:language>en-US</dc:language>
  <cp:lastModifiedBy/>
  <dcterms:modified xsi:type="dcterms:W3CDTF">2026-08-21T22:16:43Z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